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08_B_Brantice (byt)\"/>
    </mc:Choice>
  </mc:AlternateContent>
  <xr:revisionPtr revIDLastSave="0" documentId="8_{A2005ED8-CBF9-430B-A571-A821364C95A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rycí list rozpočtu" sheetId="2" r:id="rId1"/>
    <sheet name="Stavební rozpočet" sheetId="1" r:id="rId2"/>
    <sheet name="VORN" sheetId="3" state="hidden" r:id="rId3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24" i="2" s="1"/>
  <c r="I35" i="3"/>
  <c r="I26" i="3"/>
  <c r="I25" i="3"/>
  <c r="I18" i="2" s="1"/>
  <c r="I24" i="3"/>
  <c r="I17" i="2" s="1"/>
  <c r="I23" i="3"/>
  <c r="I16" i="2" s="1"/>
  <c r="I22" i="3"/>
  <c r="I15" i="2" s="1"/>
  <c r="I18" i="3"/>
  <c r="I17" i="3"/>
  <c r="F16" i="2" s="1"/>
  <c r="I16" i="3"/>
  <c r="I15" i="3"/>
  <c r="I10" i="3"/>
  <c r="F10" i="3"/>
  <c r="C10" i="3"/>
  <c r="F8" i="3"/>
  <c r="C8" i="3"/>
  <c r="F6" i="3"/>
  <c r="C6" i="3"/>
  <c r="F4" i="3"/>
  <c r="C4" i="3"/>
  <c r="F2" i="3"/>
  <c r="C2" i="3"/>
  <c r="I19" i="2"/>
  <c r="F15" i="2"/>
  <c r="F14" i="2"/>
  <c r="F10" i="2"/>
  <c r="C10" i="2"/>
  <c r="F8" i="2"/>
  <c r="F6" i="2"/>
  <c r="C6" i="2"/>
  <c r="F4" i="2"/>
  <c r="C4" i="2"/>
  <c r="F2" i="2"/>
  <c r="C2" i="2"/>
  <c r="BJ55" i="1"/>
  <c r="BF55" i="1"/>
  <c r="BD55" i="1"/>
  <c r="AW55" i="1"/>
  <c r="AP55" i="1"/>
  <c r="AX55" i="1" s="1"/>
  <c r="AO55" i="1"/>
  <c r="BH55" i="1" s="1"/>
  <c r="AL55" i="1"/>
  <c r="AK55" i="1"/>
  <c r="AJ55" i="1"/>
  <c r="AH55" i="1"/>
  <c r="AG55" i="1"/>
  <c r="AF55" i="1"/>
  <c r="AE55" i="1"/>
  <c r="AD55" i="1"/>
  <c r="AC55" i="1"/>
  <c r="AB55" i="1"/>
  <c r="Z55" i="1"/>
  <c r="J55" i="1"/>
  <c r="H55" i="1"/>
  <c r="BJ54" i="1"/>
  <c r="BF54" i="1"/>
  <c r="BD54" i="1"/>
  <c r="AP54" i="1"/>
  <c r="I54" i="1" s="1"/>
  <c r="AO54" i="1"/>
  <c r="AW54" i="1" s="1"/>
  <c r="AL54" i="1"/>
  <c r="AJ54" i="1"/>
  <c r="AH54" i="1"/>
  <c r="AG54" i="1"/>
  <c r="AF54" i="1"/>
  <c r="AE54" i="1"/>
  <c r="AD54" i="1"/>
  <c r="AC54" i="1"/>
  <c r="AB54" i="1"/>
  <c r="Z54" i="1"/>
  <c r="J54" i="1"/>
  <c r="AK54" i="1" s="1"/>
  <c r="BJ53" i="1"/>
  <c r="Z53" i="1" s="1"/>
  <c r="BF53" i="1"/>
  <c r="BD53" i="1"/>
  <c r="AP53" i="1"/>
  <c r="AX53" i="1" s="1"/>
  <c r="AO53" i="1"/>
  <c r="AW53" i="1" s="1"/>
  <c r="AL53" i="1"/>
  <c r="AJ53" i="1"/>
  <c r="AH53" i="1"/>
  <c r="AG53" i="1"/>
  <c r="AF53" i="1"/>
  <c r="AE53" i="1"/>
  <c r="AD53" i="1"/>
  <c r="AC53" i="1"/>
  <c r="AB53" i="1"/>
  <c r="J53" i="1"/>
  <c r="AK53" i="1" s="1"/>
  <c r="BJ52" i="1"/>
  <c r="Z52" i="1" s="1"/>
  <c r="BF52" i="1"/>
  <c r="BD52" i="1"/>
  <c r="AP52" i="1"/>
  <c r="AX52" i="1" s="1"/>
  <c r="AO52" i="1"/>
  <c r="AW52" i="1" s="1"/>
  <c r="AL52" i="1"/>
  <c r="AK52" i="1"/>
  <c r="AJ52" i="1"/>
  <c r="AH52" i="1"/>
  <c r="AG52" i="1"/>
  <c r="AF52" i="1"/>
  <c r="AE52" i="1"/>
  <c r="AD52" i="1"/>
  <c r="AC52" i="1"/>
  <c r="AB52" i="1"/>
  <c r="J52" i="1"/>
  <c r="BJ51" i="1"/>
  <c r="BF51" i="1"/>
  <c r="BD51" i="1"/>
  <c r="AP51" i="1"/>
  <c r="AX51" i="1" s="1"/>
  <c r="AO51" i="1"/>
  <c r="BH51" i="1" s="1"/>
  <c r="AL51" i="1"/>
  <c r="AJ51" i="1"/>
  <c r="AH51" i="1"/>
  <c r="AG51" i="1"/>
  <c r="AF51" i="1"/>
  <c r="AE51" i="1"/>
  <c r="AD51" i="1"/>
  <c r="AC51" i="1"/>
  <c r="AB51" i="1"/>
  <c r="Z51" i="1"/>
  <c r="J51" i="1"/>
  <c r="AK51" i="1" s="1"/>
  <c r="BJ50" i="1"/>
  <c r="Z50" i="1" s="1"/>
  <c r="BF50" i="1"/>
  <c r="BD50" i="1"/>
  <c r="AP50" i="1"/>
  <c r="BI50" i="1" s="1"/>
  <c r="AO50" i="1"/>
  <c r="BH50" i="1" s="1"/>
  <c r="AL50" i="1"/>
  <c r="AK50" i="1"/>
  <c r="AJ50" i="1"/>
  <c r="AS48" i="1" s="1"/>
  <c r="AH50" i="1"/>
  <c r="AG50" i="1"/>
  <c r="AF50" i="1"/>
  <c r="AE50" i="1"/>
  <c r="AD50" i="1"/>
  <c r="AC50" i="1"/>
  <c r="AB50" i="1"/>
  <c r="J50" i="1"/>
  <c r="H50" i="1"/>
  <c r="BJ49" i="1"/>
  <c r="Z49" i="1" s="1"/>
  <c r="BF49" i="1"/>
  <c r="BD49" i="1"/>
  <c r="AP49" i="1"/>
  <c r="BI49" i="1" s="1"/>
  <c r="AO49" i="1"/>
  <c r="BH49" i="1" s="1"/>
  <c r="AL49" i="1"/>
  <c r="AU48" i="1" s="1"/>
  <c r="AJ49" i="1"/>
  <c r="AH49" i="1"/>
  <c r="AG49" i="1"/>
  <c r="AF49" i="1"/>
  <c r="AE49" i="1"/>
  <c r="AD49" i="1"/>
  <c r="AC49" i="1"/>
  <c r="AB49" i="1"/>
  <c r="J49" i="1"/>
  <c r="AK49" i="1" s="1"/>
  <c r="BJ47" i="1"/>
  <c r="Z47" i="1" s="1"/>
  <c r="BF47" i="1"/>
  <c r="BD47" i="1"/>
  <c r="AP47" i="1"/>
  <c r="BI47" i="1" s="1"/>
  <c r="AO47" i="1"/>
  <c r="BH47" i="1" s="1"/>
  <c r="AL47" i="1"/>
  <c r="AK47" i="1"/>
  <c r="AT46" i="1" s="1"/>
  <c r="AJ47" i="1"/>
  <c r="AS46" i="1" s="1"/>
  <c r="AH47" i="1"/>
  <c r="AG47" i="1"/>
  <c r="AF47" i="1"/>
  <c r="AE47" i="1"/>
  <c r="AD47" i="1"/>
  <c r="AC47" i="1"/>
  <c r="AB47" i="1"/>
  <c r="J47" i="1"/>
  <c r="H47" i="1"/>
  <c r="H46" i="1" s="1"/>
  <c r="AU46" i="1"/>
  <c r="J46" i="1"/>
  <c r="BJ45" i="1"/>
  <c r="BF45" i="1"/>
  <c r="BD45" i="1"/>
  <c r="AP45" i="1"/>
  <c r="AX45" i="1" s="1"/>
  <c r="AO45" i="1"/>
  <c r="BH45" i="1" s="1"/>
  <c r="AB45" i="1" s="1"/>
  <c r="AL45" i="1"/>
  <c r="AJ45" i="1"/>
  <c r="AH45" i="1"/>
  <c r="AG45" i="1"/>
  <c r="AF45" i="1"/>
  <c r="AE45" i="1"/>
  <c r="AD45" i="1"/>
  <c r="Z45" i="1"/>
  <c r="J45" i="1"/>
  <c r="AK45" i="1" s="1"/>
  <c r="BJ44" i="1"/>
  <c r="BF44" i="1"/>
  <c r="BD44" i="1"/>
  <c r="AP44" i="1"/>
  <c r="BI44" i="1" s="1"/>
  <c r="AC44" i="1" s="1"/>
  <c r="AO44" i="1"/>
  <c r="BH44" i="1" s="1"/>
  <c r="AB44" i="1" s="1"/>
  <c r="AL44" i="1"/>
  <c r="AU43" i="1" s="1"/>
  <c r="AK44" i="1"/>
  <c r="AJ44" i="1"/>
  <c r="AS43" i="1" s="1"/>
  <c r="AH44" i="1"/>
  <c r="AG44" i="1"/>
  <c r="AF44" i="1"/>
  <c r="AE44" i="1"/>
  <c r="AD44" i="1"/>
  <c r="Z44" i="1"/>
  <c r="J44" i="1"/>
  <c r="H44" i="1"/>
  <c r="J43" i="1"/>
  <c r="BJ42" i="1"/>
  <c r="BF42" i="1"/>
  <c r="BD42" i="1"/>
  <c r="AP42" i="1"/>
  <c r="AX42" i="1" s="1"/>
  <c r="AO42" i="1"/>
  <c r="BH42" i="1" s="1"/>
  <c r="AB42" i="1" s="1"/>
  <c r="AL42" i="1"/>
  <c r="AJ42" i="1"/>
  <c r="AH42" i="1"/>
  <c r="AG42" i="1"/>
  <c r="AF42" i="1"/>
  <c r="AE42" i="1"/>
  <c r="AD42" i="1"/>
  <c r="Z42" i="1"/>
  <c r="J42" i="1"/>
  <c r="AK42" i="1" s="1"/>
  <c r="BJ41" i="1"/>
  <c r="BF41" i="1"/>
  <c r="BD41" i="1"/>
  <c r="AP41" i="1"/>
  <c r="BI41" i="1" s="1"/>
  <c r="AC41" i="1" s="1"/>
  <c r="AO41" i="1"/>
  <c r="BH41" i="1" s="1"/>
  <c r="AB41" i="1" s="1"/>
  <c r="AL41" i="1"/>
  <c r="AU40" i="1" s="1"/>
  <c r="AJ41" i="1"/>
  <c r="AH41" i="1"/>
  <c r="AG41" i="1"/>
  <c r="AF41" i="1"/>
  <c r="AE41" i="1"/>
  <c r="AD41" i="1"/>
  <c r="Z41" i="1"/>
  <c r="J41" i="1"/>
  <c r="AK41" i="1" s="1"/>
  <c r="J40" i="1"/>
  <c r="BJ39" i="1"/>
  <c r="BF39" i="1"/>
  <c r="BD39" i="1"/>
  <c r="AP39" i="1"/>
  <c r="AX39" i="1" s="1"/>
  <c r="AO39" i="1"/>
  <c r="BH39" i="1" s="1"/>
  <c r="AD39" i="1" s="1"/>
  <c r="AL39" i="1"/>
  <c r="AJ39" i="1"/>
  <c r="AH39" i="1"/>
  <c r="AG39" i="1"/>
  <c r="AF39" i="1"/>
  <c r="AC39" i="1"/>
  <c r="AB39" i="1"/>
  <c r="Z39" i="1"/>
  <c r="J39" i="1"/>
  <c r="AK39" i="1" s="1"/>
  <c r="BJ38" i="1"/>
  <c r="BF38" i="1"/>
  <c r="BD38" i="1"/>
  <c r="AP38" i="1"/>
  <c r="BI38" i="1" s="1"/>
  <c r="AE38" i="1" s="1"/>
  <c r="AO38" i="1"/>
  <c r="BH38" i="1" s="1"/>
  <c r="AD38" i="1" s="1"/>
  <c r="AL38" i="1"/>
  <c r="AK38" i="1"/>
  <c r="AJ38" i="1"/>
  <c r="AH38" i="1"/>
  <c r="AG38" i="1"/>
  <c r="AF38" i="1"/>
  <c r="AC38" i="1"/>
  <c r="AB38" i="1"/>
  <c r="Z38" i="1"/>
  <c r="J38" i="1"/>
  <c r="BJ37" i="1"/>
  <c r="BF37" i="1"/>
  <c r="BD37" i="1"/>
  <c r="AP37" i="1"/>
  <c r="BI37" i="1" s="1"/>
  <c r="AE37" i="1" s="1"/>
  <c r="AO37" i="1"/>
  <c r="BH37" i="1" s="1"/>
  <c r="AD37" i="1" s="1"/>
  <c r="AL37" i="1"/>
  <c r="AJ37" i="1"/>
  <c r="AH37" i="1"/>
  <c r="AG37" i="1"/>
  <c r="AF37" i="1"/>
  <c r="AC37" i="1"/>
  <c r="AB37" i="1"/>
  <c r="Z37" i="1"/>
  <c r="J37" i="1"/>
  <c r="AK37" i="1" s="1"/>
  <c r="I37" i="1"/>
  <c r="H37" i="1"/>
  <c r="BJ36" i="1"/>
  <c r="BF36" i="1"/>
  <c r="BD36" i="1"/>
  <c r="AP36" i="1"/>
  <c r="BI36" i="1" s="1"/>
  <c r="AE36" i="1" s="1"/>
  <c r="AO36" i="1"/>
  <c r="BH36" i="1" s="1"/>
  <c r="AD36" i="1" s="1"/>
  <c r="AL36" i="1"/>
  <c r="AJ36" i="1"/>
  <c r="AH36" i="1"/>
  <c r="AG36" i="1"/>
  <c r="AF36" i="1"/>
  <c r="AC36" i="1"/>
  <c r="AB36" i="1"/>
  <c r="Z36" i="1"/>
  <c r="J36" i="1"/>
  <c r="AK36" i="1" s="1"/>
  <c r="BJ35" i="1"/>
  <c r="BF35" i="1"/>
  <c r="BD35" i="1"/>
  <c r="AX35" i="1"/>
  <c r="AW35" i="1"/>
  <c r="AV35" i="1" s="1"/>
  <c r="AP35" i="1"/>
  <c r="BI35" i="1" s="1"/>
  <c r="AE35" i="1" s="1"/>
  <c r="AO35" i="1"/>
  <c r="H35" i="1" s="1"/>
  <c r="AL35" i="1"/>
  <c r="AJ35" i="1"/>
  <c r="AH35" i="1"/>
  <c r="AG35" i="1"/>
  <c r="AF35" i="1"/>
  <c r="AC35" i="1"/>
  <c r="AB35" i="1"/>
  <c r="Z35" i="1"/>
  <c r="J35" i="1"/>
  <c r="AK35" i="1" s="1"/>
  <c r="I35" i="1"/>
  <c r="BJ34" i="1"/>
  <c r="BF34" i="1"/>
  <c r="BD34" i="1"/>
  <c r="AP34" i="1"/>
  <c r="I34" i="1" s="1"/>
  <c r="AO34" i="1"/>
  <c r="AW34" i="1" s="1"/>
  <c r="AL34" i="1"/>
  <c r="AU33" i="1" s="1"/>
  <c r="AK34" i="1"/>
  <c r="AJ34" i="1"/>
  <c r="AH34" i="1"/>
  <c r="AG34" i="1"/>
  <c r="AF34" i="1"/>
  <c r="AC34" i="1"/>
  <c r="AB34" i="1"/>
  <c r="Z34" i="1"/>
  <c r="J34" i="1"/>
  <c r="J33" i="1"/>
  <c r="BJ32" i="1"/>
  <c r="BF32" i="1"/>
  <c r="BD32" i="1"/>
  <c r="AX32" i="1"/>
  <c r="AW32" i="1"/>
  <c r="AP32" i="1"/>
  <c r="BI32" i="1" s="1"/>
  <c r="AO32" i="1"/>
  <c r="H32" i="1" s="1"/>
  <c r="AL32" i="1"/>
  <c r="AJ32" i="1"/>
  <c r="AH32" i="1"/>
  <c r="AG32" i="1"/>
  <c r="AF32" i="1"/>
  <c r="AE32" i="1"/>
  <c r="AD32" i="1"/>
  <c r="AC32" i="1"/>
  <c r="AB32" i="1"/>
  <c r="Z32" i="1"/>
  <c r="J32" i="1"/>
  <c r="AK32" i="1" s="1"/>
  <c r="I32" i="1"/>
  <c r="BJ31" i="1"/>
  <c r="BF31" i="1"/>
  <c r="BD31" i="1"/>
  <c r="AP31" i="1"/>
  <c r="I31" i="1" s="1"/>
  <c r="AO31" i="1"/>
  <c r="AW31" i="1" s="1"/>
  <c r="AL31" i="1"/>
  <c r="AJ31" i="1"/>
  <c r="AH31" i="1"/>
  <c r="AG31" i="1"/>
  <c r="AF31" i="1"/>
  <c r="AC31" i="1"/>
  <c r="AB31" i="1"/>
  <c r="Z31" i="1"/>
  <c r="J31" i="1"/>
  <c r="AK31" i="1" s="1"/>
  <c r="H31" i="1"/>
  <c r="BJ30" i="1"/>
  <c r="BF30" i="1"/>
  <c r="BD30" i="1"/>
  <c r="AW30" i="1"/>
  <c r="AP30" i="1"/>
  <c r="AX30" i="1" s="1"/>
  <c r="BC30" i="1" s="1"/>
  <c r="AO30" i="1"/>
  <c r="BH30" i="1" s="1"/>
  <c r="AD30" i="1" s="1"/>
  <c r="AL30" i="1"/>
  <c r="AJ30" i="1"/>
  <c r="AH30" i="1"/>
  <c r="AG30" i="1"/>
  <c r="AF30" i="1"/>
  <c r="AC30" i="1"/>
  <c r="AB30" i="1"/>
  <c r="Z30" i="1"/>
  <c r="J30" i="1"/>
  <c r="AK30" i="1" s="1"/>
  <c r="H30" i="1"/>
  <c r="BJ29" i="1"/>
  <c r="BF29" i="1"/>
  <c r="BD29" i="1"/>
  <c r="AP29" i="1"/>
  <c r="BI29" i="1" s="1"/>
  <c r="AE29" i="1" s="1"/>
  <c r="AO29" i="1"/>
  <c r="AW29" i="1" s="1"/>
  <c r="AL29" i="1"/>
  <c r="AJ29" i="1"/>
  <c r="AH29" i="1"/>
  <c r="AG29" i="1"/>
  <c r="AF29" i="1"/>
  <c r="AC29" i="1"/>
  <c r="AB29" i="1"/>
  <c r="Z29" i="1"/>
  <c r="J29" i="1"/>
  <c r="AK29" i="1" s="1"/>
  <c r="BJ28" i="1"/>
  <c r="BF28" i="1"/>
  <c r="BD28" i="1"/>
  <c r="AP28" i="1"/>
  <c r="AX28" i="1" s="1"/>
  <c r="AO28" i="1"/>
  <c r="BH28" i="1" s="1"/>
  <c r="AD28" i="1" s="1"/>
  <c r="AL28" i="1"/>
  <c r="AJ28" i="1"/>
  <c r="AH28" i="1"/>
  <c r="AG28" i="1"/>
  <c r="AF28" i="1"/>
  <c r="AC28" i="1"/>
  <c r="AB28" i="1"/>
  <c r="Z28" i="1"/>
  <c r="J28" i="1"/>
  <c r="AK28" i="1" s="1"/>
  <c r="BJ27" i="1"/>
  <c r="BF27" i="1"/>
  <c r="BD27" i="1"/>
  <c r="AP27" i="1"/>
  <c r="BI27" i="1" s="1"/>
  <c r="AE27" i="1" s="1"/>
  <c r="AO27" i="1"/>
  <c r="BH27" i="1" s="1"/>
  <c r="AD27" i="1" s="1"/>
  <c r="AL27" i="1"/>
  <c r="AJ27" i="1"/>
  <c r="AH27" i="1"/>
  <c r="AG27" i="1"/>
  <c r="AF27" i="1"/>
  <c r="AC27" i="1"/>
  <c r="AB27" i="1"/>
  <c r="Z27" i="1"/>
  <c r="J27" i="1"/>
  <c r="AK27" i="1" s="1"/>
  <c r="H27" i="1"/>
  <c r="BJ26" i="1"/>
  <c r="BF26" i="1"/>
  <c r="BD26" i="1"/>
  <c r="AP26" i="1"/>
  <c r="BI26" i="1" s="1"/>
  <c r="AE26" i="1" s="1"/>
  <c r="AO26" i="1"/>
  <c r="BH26" i="1" s="1"/>
  <c r="AD26" i="1" s="1"/>
  <c r="AL26" i="1"/>
  <c r="AK26" i="1"/>
  <c r="AJ26" i="1"/>
  <c r="AH26" i="1"/>
  <c r="AG26" i="1"/>
  <c r="AF26" i="1"/>
  <c r="AC26" i="1"/>
  <c r="AB26" i="1"/>
  <c r="Z26" i="1"/>
  <c r="J26" i="1"/>
  <c r="I26" i="1"/>
  <c r="BJ25" i="1"/>
  <c r="BF25" i="1"/>
  <c r="BD25" i="1"/>
  <c r="AW25" i="1"/>
  <c r="AP25" i="1"/>
  <c r="BI25" i="1" s="1"/>
  <c r="AE25" i="1" s="1"/>
  <c r="AO25" i="1"/>
  <c r="BH25" i="1" s="1"/>
  <c r="AD25" i="1" s="1"/>
  <c r="AL25" i="1"/>
  <c r="AJ25" i="1"/>
  <c r="AH25" i="1"/>
  <c r="AG25" i="1"/>
  <c r="AF25" i="1"/>
  <c r="AC25" i="1"/>
  <c r="AB25" i="1"/>
  <c r="Z25" i="1"/>
  <c r="J25" i="1"/>
  <c r="AK25" i="1" s="1"/>
  <c r="H25" i="1"/>
  <c r="BJ24" i="1"/>
  <c r="BF24" i="1"/>
  <c r="BD24" i="1"/>
  <c r="AP24" i="1"/>
  <c r="BI24" i="1" s="1"/>
  <c r="AE24" i="1" s="1"/>
  <c r="AO24" i="1"/>
  <c r="H24" i="1" s="1"/>
  <c r="AL24" i="1"/>
  <c r="AU23" i="1" s="1"/>
  <c r="AJ24" i="1"/>
  <c r="AS23" i="1" s="1"/>
  <c r="AH24" i="1"/>
  <c r="AG24" i="1"/>
  <c r="AF24" i="1"/>
  <c r="AC24" i="1"/>
  <c r="AB24" i="1"/>
  <c r="Z24" i="1"/>
  <c r="J24" i="1"/>
  <c r="AK24" i="1" s="1"/>
  <c r="BJ22" i="1"/>
  <c r="BF22" i="1"/>
  <c r="BD22" i="1"/>
  <c r="AW22" i="1"/>
  <c r="AP22" i="1"/>
  <c r="BI22" i="1" s="1"/>
  <c r="AE22" i="1" s="1"/>
  <c r="AO22" i="1"/>
  <c r="BH22" i="1" s="1"/>
  <c r="AD22" i="1" s="1"/>
  <c r="AL22" i="1"/>
  <c r="AU21" i="1" s="1"/>
  <c r="AJ22" i="1"/>
  <c r="AH22" i="1"/>
  <c r="AG22" i="1"/>
  <c r="AF22" i="1"/>
  <c r="AC22" i="1"/>
  <c r="AB22" i="1"/>
  <c r="Z22" i="1"/>
  <c r="J22" i="1"/>
  <c r="AK22" i="1" s="1"/>
  <c r="AT21" i="1" s="1"/>
  <c r="H22" i="1"/>
  <c r="H21" i="1" s="1"/>
  <c r="AS21" i="1"/>
  <c r="BJ20" i="1"/>
  <c r="Z20" i="1" s="1"/>
  <c r="BF20" i="1"/>
  <c r="BD20" i="1"/>
  <c r="AP20" i="1"/>
  <c r="BI20" i="1" s="1"/>
  <c r="AO20" i="1"/>
  <c r="BH20" i="1" s="1"/>
  <c r="AL20" i="1"/>
  <c r="AJ20" i="1"/>
  <c r="AH20" i="1"/>
  <c r="AG20" i="1"/>
  <c r="AF20" i="1"/>
  <c r="AE20" i="1"/>
  <c r="AD20" i="1"/>
  <c r="AC20" i="1"/>
  <c r="AB20" i="1"/>
  <c r="J20" i="1"/>
  <c r="AK20" i="1" s="1"/>
  <c r="I20" i="1"/>
  <c r="BJ19" i="1"/>
  <c r="BF19" i="1"/>
  <c r="BD19" i="1"/>
  <c r="AP19" i="1"/>
  <c r="BI19" i="1" s="1"/>
  <c r="AE19" i="1" s="1"/>
  <c r="AO19" i="1"/>
  <c r="BH19" i="1" s="1"/>
  <c r="AD19" i="1" s="1"/>
  <c r="AL19" i="1"/>
  <c r="AJ19" i="1"/>
  <c r="AH19" i="1"/>
  <c r="AG19" i="1"/>
  <c r="AF19" i="1"/>
  <c r="AC19" i="1"/>
  <c r="AB19" i="1"/>
  <c r="Z19" i="1"/>
  <c r="J19" i="1"/>
  <c r="AK19" i="1" s="1"/>
  <c r="I19" i="1"/>
  <c r="BJ18" i="1"/>
  <c r="BF18" i="1"/>
  <c r="BD18" i="1"/>
  <c r="AX18" i="1"/>
  <c r="AW18" i="1"/>
  <c r="AV18" i="1" s="1"/>
  <c r="AP18" i="1"/>
  <c r="BI18" i="1" s="1"/>
  <c r="AE18" i="1" s="1"/>
  <c r="AO18" i="1"/>
  <c r="H18" i="1" s="1"/>
  <c r="AL18" i="1"/>
  <c r="AU16" i="1" s="1"/>
  <c r="AJ18" i="1"/>
  <c r="AH18" i="1"/>
  <c r="AG18" i="1"/>
  <c r="AF18" i="1"/>
  <c r="AC18" i="1"/>
  <c r="AB18" i="1"/>
  <c r="Z18" i="1"/>
  <c r="J18" i="1"/>
  <c r="AK18" i="1" s="1"/>
  <c r="I18" i="1"/>
  <c r="BJ17" i="1"/>
  <c r="BF17" i="1"/>
  <c r="BD17" i="1"/>
  <c r="AX17" i="1"/>
  <c r="AP17" i="1"/>
  <c r="I17" i="1" s="1"/>
  <c r="AO17" i="1"/>
  <c r="AW17" i="1" s="1"/>
  <c r="AL17" i="1"/>
  <c r="AJ17" i="1"/>
  <c r="AH17" i="1"/>
  <c r="AG17" i="1"/>
  <c r="AF17" i="1"/>
  <c r="AC17" i="1"/>
  <c r="AB17" i="1"/>
  <c r="Z17" i="1"/>
  <c r="J17" i="1"/>
  <c r="AK17" i="1" s="1"/>
  <c r="H17" i="1"/>
  <c r="BJ15" i="1"/>
  <c r="BF15" i="1"/>
  <c r="BD15" i="1"/>
  <c r="AP15" i="1"/>
  <c r="BI15" i="1" s="1"/>
  <c r="AC15" i="1" s="1"/>
  <c r="AO15" i="1"/>
  <c r="H15" i="1" s="1"/>
  <c r="H14" i="1" s="1"/>
  <c r="AL15" i="1"/>
  <c r="AJ15" i="1"/>
  <c r="AS14" i="1" s="1"/>
  <c r="AH15" i="1"/>
  <c r="AG15" i="1"/>
  <c r="AF15" i="1"/>
  <c r="AE15" i="1"/>
  <c r="AD15" i="1"/>
  <c r="Z15" i="1"/>
  <c r="J15" i="1"/>
  <c r="AK15" i="1" s="1"/>
  <c r="AT14" i="1" s="1"/>
  <c r="AU14" i="1"/>
  <c r="BJ13" i="1"/>
  <c r="BF13" i="1"/>
  <c r="BD13" i="1"/>
  <c r="AX13" i="1"/>
  <c r="AW13" i="1"/>
  <c r="BC13" i="1" s="1"/>
  <c r="AP13" i="1"/>
  <c r="BI13" i="1" s="1"/>
  <c r="AC13" i="1" s="1"/>
  <c r="AO13" i="1"/>
  <c r="BH13" i="1" s="1"/>
  <c r="AB13" i="1" s="1"/>
  <c r="AL13" i="1"/>
  <c r="AU12" i="1" s="1"/>
  <c r="AJ13" i="1"/>
  <c r="AS12" i="1" s="1"/>
  <c r="AH13" i="1"/>
  <c r="AG13" i="1"/>
  <c r="C19" i="2" s="1"/>
  <c r="AF13" i="1"/>
  <c r="AE13" i="1"/>
  <c r="AD13" i="1"/>
  <c r="Z13" i="1"/>
  <c r="J13" i="1"/>
  <c r="AK13" i="1" s="1"/>
  <c r="AT12" i="1" s="1"/>
  <c r="I13" i="1"/>
  <c r="I12" i="1" s="1"/>
  <c r="H13" i="1"/>
  <c r="H12" i="1" s="1"/>
  <c r="AU1" i="1"/>
  <c r="AT1" i="1"/>
  <c r="AS1" i="1"/>
  <c r="AT48" i="1" l="1"/>
  <c r="F22" i="2"/>
  <c r="I22" i="1"/>
  <c r="I21" i="1" s="1"/>
  <c r="I25" i="1"/>
  <c r="BC32" i="1"/>
  <c r="I55" i="1"/>
  <c r="I30" i="1"/>
  <c r="J48" i="1"/>
  <c r="C21" i="2"/>
  <c r="AT16" i="1"/>
  <c r="AV22" i="1"/>
  <c r="AV25" i="1"/>
  <c r="AX22" i="1"/>
  <c r="AX25" i="1"/>
  <c r="BC35" i="1"/>
  <c r="AW37" i="1"/>
  <c r="H41" i="1"/>
  <c r="AT43" i="1"/>
  <c r="H20" i="1"/>
  <c r="AS33" i="1"/>
  <c r="H49" i="1"/>
  <c r="H48" i="1" s="1"/>
  <c r="I49" i="1"/>
  <c r="H26" i="1"/>
  <c r="I29" i="1"/>
  <c r="AS16" i="1"/>
  <c r="AX34" i="1"/>
  <c r="AX54" i="1"/>
  <c r="H19" i="1"/>
  <c r="H16" i="1" s="1"/>
  <c r="BH29" i="1"/>
  <c r="AD29" i="1" s="1"/>
  <c r="C20" i="2"/>
  <c r="AW15" i="1"/>
  <c r="AV15" i="1" s="1"/>
  <c r="AW20" i="1"/>
  <c r="BC20" i="1" s="1"/>
  <c r="AX29" i="1"/>
  <c r="BC29" i="1" s="1"/>
  <c r="H36" i="1"/>
  <c r="AW49" i="1"/>
  <c r="BC49" i="1" s="1"/>
  <c r="AX15" i="1"/>
  <c r="H34" i="1"/>
  <c r="AX24" i="1"/>
  <c r="BC24" i="1" s="1"/>
  <c r="AX36" i="1"/>
  <c r="AW19" i="1"/>
  <c r="AV19" i="1" s="1"/>
  <c r="AS40" i="1"/>
  <c r="I15" i="1"/>
  <c r="I14" i="1" s="1"/>
  <c r="AX31" i="1"/>
  <c r="BC31" i="1" s="1"/>
  <c r="H38" i="1"/>
  <c r="AT40" i="1"/>
  <c r="C27" i="2"/>
  <c r="I24" i="1"/>
  <c r="AW24" i="1"/>
  <c r="I36" i="1"/>
  <c r="AW36" i="1"/>
  <c r="AV36" i="1" s="1"/>
  <c r="AT23" i="1"/>
  <c r="AW26" i="1"/>
  <c r="AV13" i="1"/>
  <c r="I16" i="1"/>
  <c r="AX19" i="1"/>
  <c r="C18" i="2"/>
  <c r="AV32" i="1"/>
  <c r="BC34" i="1"/>
  <c r="AV34" i="1"/>
  <c r="AV30" i="1"/>
  <c r="BC52" i="1"/>
  <c r="AV52" i="1"/>
  <c r="AV55" i="1"/>
  <c r="AV17" i="1"/>
  <c r="BC17" i="1"/>
  <c r="BC53" i="1"/>
  <c r="AV53" i="1"/>
  <c r="H40" i="1"/>
  <c r="BC54" i="1"/>
  <c r="AV54" i="1"/>
  <c r="AV31" i="1"/>
  <c r="AT33" i="1"/>
  <c r="J16" i="1"/>
  <c r="BC18" i="1"/>
  <c r="BI39" i="1"/>
  <c r="AE39" i="1" s="1"/>
  <c r="BI42" i="1"/>
  <c r="AC42" i="1" s="1"/>
  <c r="BI45" i="1"/>
  <c r="AC45" i="1" s="1"/>
  <c r="BI51" i="1"/>
  <c r="BH52" i="1"/>
  <c r="BC55" i="1"/>
  <c r="BI28" i="1"/>
  <c r="AE28" i="1" s="1"/>
  <c r="J14" i="1"/>
  <c r="BC19" i="1"/>
  <c r="AX20" i="1"/>
  <c r="BC22" i="1"/>
  <c r="J23" i="1"/>
  <c r="BC25" i="1"/>
  <c r="AX26" i="1"/>
  <c r="BC26" i="1" s="1"/>
  <c r="I27" i="1"/>
  <c r="AW27" i="1"/>
  <c r="H28" i="1"/>
  <c r="BC36" i="1"/>
  <c r="AX37" i="1"/>
  <c r="AV37" i="1" s="1"/>
  <c r="I38" i="1"/>
  <c r="I33" i="1" s="1"/>
  <c r="AW38" i="1"/>
  <c r="H39" i="1"/>
  <c r="I41" i="1"/>
  <c r="AW41" i="1"/>
  <c r="H42" i="1"/>
  <c r="I44" i="1"/>
  <c r="AW44" i="1"/>
  <c r="H45" i="1"/>
  <c r="H43" i="1" s="1"/>
  <c r="I47" i="1"/>
  <c r="I46" i="1" s="1"/>
  <c r="AW47" i="1"/>
  <c r="AX49" i="1"/>
  <c r="I50" i="1"/>
  <c r="AW50" i="1"/>
  <c r="H51" i="1"/>
  <c r="BI52" i="1"/>
  <c r="BH53" i="1"/>
  <c r="J12" i="1"/>
  <c r="J56" i="1" s="1"/>
  <c r="BH17" i="1"/>
  <c r="AD17" i="1" s="1"/>
  <c r="C16" i="2" s="1"/>
  <c r="J21" i="1"/>
  <c r="AX27" i="1"/>
  <c r="I28" i="1"/>
  <c r="AW28" i="1"/>
  <c r="H29" i="1"/>
  <c r="BI30" i="1"/>
  <c r="AE30" i="1" s="1"/>
  <c r="C17" i="2" s="1"/>
  <c r="BH31" i="1"/>
  <c r="AD31" i="1" s="1"/>
  <c r="BH34" i="1"/>
  <c r="AD34" i="1" s="1"/>
  <c r="BC37" i="1"/>
  <c r="AX38" i="1"/>
  <c r="I39" i="1"/>
  <c r="AW39" i="1"/>
  <c r="AX41" i="1"/>
  <c r="I42" i="1"/>
  <c r="AW42" i="1"/>
  <c r="AX44" i="1"/>
  <c r="I45" i="1"/>
  <c r="AW45" i="1"/>
  <c r="AX47" i="1"/>
  <c r="AX50" i="1"/>
  <c r="I51" i="1"/>
  <c r="AW51" i="1"/>
  <c r="H52" i="1"/>
  <c r="BI53" i="1"/>
  <c r="BH54" i="1"/>
  <c r="BI17" i="1"/>
  <c r="AE17" i="1" s="1"/>
  <c r="BH18" i="1"/>
  <c r="AD18" i="1" s="1"/>
  <c r="BH24" i="1"/>
  <c r="AD24" i="1" s="1"/>
  <c r="BI31" i="1"/>
  <c r="AE31" i="1" s="1"/>
  <c r="BH32" i="1"/>
  <c r="BI34" i="1"/>
  <c r="AE34" i="1" s="1"/>
  <c r="BH35" i="1"/>
  <c r="AD35" i="1" s="1"/>
  <c r="I52" i="1"/>
  <c r="H53" i="1"/>
  <c r="BI54" i="1"/>
  <c r="C29" i="2"/>
  <c r="F29" i="2" s="1"/>
  <c r="BC15" i="1"/>
  <c r="I53" i="1"/>
  <c r="H54" i="1"/>
  <c r="BI55" i="1"/>
  <c r="BH15" i="1"/>
  <c r="AB15" i="1" s="1"/>
  <c r="C14" i="2" s="1"/>
  <c r="H33" i="1" l="1"/>
  <c r="AV20" i="1"/>
  <c r="AV29" i="1"/>
  <c r="AV49" i="1"/>
  <c r="I48" i="1"/>
  <c r="H23" i="1"/>
  <c r="C15" i="2"/>
  <c r="AV24" i="1"/>
  <c r="C22" i="2"/>
  <c r="H21" i="3" s="1"/>
  <c r="I21" i="3" s="1"/>
  <c r="BC39" i="1"/>
  <c r="AV39" i="1"/>
  <c r="I43" i="1"/>
  <c r="AV26" i="1"/>
  <c r="BC28" i="1"/>
  <c r="AV28" i="1"/>
  <c r="BC44" i="1"/>
  <c r="AV44" i="1"/>
  <c r="BC45" i="1"/>
  <c r="AV45" i="1"/>
  <c r="BC50" i="1"/>
  <c r="AV50" i="1"/>
  <c r="BC47" i="1"/>
  <c r="AV47" i="1"/>
  <c r="BC41" i="1"/>
  <c r="AV41" i="1"/>
  <c r="BC27" i="1"/>
  <c r="AV27" i="1"/>
  <c r="BC42" i="1"/>
  <c r="AV42" i="1"/>
  <c r="I40" i="1"/>
  <c r="I23" i="1"/>
  <c r="BC51" i="1"/>
  <c r="AV51" i="1"/>
  <c r="BC38" i="1"/>
  <c r="AV38" i="1"/>
  <c r="I27" i="3" l="1"/>
  <c r="F29" i="3" s="1"/>
  <c r="I14" i="2"/>
  <c r="I22" i="2" s="1"/>
  <c r="C28" i="2" s="1"/>
  <c r="F28" i="2" l="1"/>
  <c r="I28" i="2"/>
  <c r="I29" i="2" l="1"/>
</calcChain>
</file>

<file path=xl/sharedStrings.xml><?xml version="1.0" encoding="utf-8"?>
<sst xmlns="http://schemas.openxmlformats.org/spreadsheetml/2006/main" count="676" uniqueCount="246">
  <si>
    <t>Slepý stavební rozpočet</t>
  </si>
  <si>
    <t>Název stavby:</t>
  </si>
  <si>
    <t>BD č.p. 315 parc č. st. 367 v K.ú. Brantice</t>
  </si>
  <si>
    <t>Doba výstavby:</t>
  </si>
  <si>
    <t xml:space="preserve"> </t>
  </si>
  <si>
    <t>Objednatel:</t>
  </si>
  <si>
    <t> </t>
  </si>
  <si>
    <t>Druh stavby:</t>
  </si>
  <si>
    <t>Odstranění škod po povodni</t>
  </si>
  <si>
    <t>Začátek výstavby:</t>
  </si>
  <si>
    <t>Projektant:</t>
  </si>
  <si>
    <t>Lokalita:</t>
  </si>
  <si>
    <t>Brantice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</si>
  <si>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</si>
  <si>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</si>
  <si>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</si>
  <si>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</si>
  <si>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</si>
  <si>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</si>
  <si>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</si>
  <si>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</si>
  <si>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</si>
  <si>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</si>
  <si>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</si>
  <si>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</si>
  <si>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</si>
  <si>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</si>
  <si>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</si>
  <si>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</si>
  <si>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</si>
  <si>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</si>
  <si>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</si>
  <si>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</si>
  <si>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</si>
  <si>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</si>
  <si>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</si>
  <si>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</si>
  <si>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</si>
  <si>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</si>
  <si>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</si>
  <si>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</si>
  <si>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</si>
  <si>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</si>
  <si>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</si>
  <si>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</si>
  <si>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</si>
  <si>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</si>
  <si>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</si>
  <si>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</si>
  <si>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</si>
  <si>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</si>
  <si>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612423631RT2</t>
  </si>
  <si>
    <t>Omítka rýh stěn vápenná šířky do 30 cm, štuková</t>
  </si>
  <si>
    <t>m2</t>
  </si>
  <si>
    <t>61_</t>
  </si>
  <si>
    <t>_</t>
  </si>
  <si>
    <t>P</t>
  </si>
  <si>
    <t>63</t>
  </si>
  <si>
    <t>Podlahy a podlahové konstrukce</t>
  </si>
  <si>
    <t>2</t>
  </si>
  <si>
    <t>632418120R00</t>
  </si>
  <si>
    <t>Potěr ze SMSt, ruční zpracování, tl. 20 mm</t>
  </si>
  <si>
    <t>63_</t>
  </si>
  <si>
    <t>711</t>
  </si>
  <si>
    <t>Izolace proti vodě</t>
  </si>
  <si>
    <t>3</t>
  </si>
  <si>
    <t>711130101R00</t>
  </si>
  <si>
    <t>Odstranění izolace proti vlhkosti na ploše vodorovné, asfaltové pásy na sucho, 1 vrstva</t>
  </si>
  <si>
    <t>7</t>
  </si>
  <si>
    <t>711_</t>
  </si>
  <si>
    <t>4</t>
  </si>
  <si>
    <t>711212000R00</t>
  </si>
  <si>
    <t>Penetrace podkladu</t>
  </si>
  <si>
    <t>5</t>
  </si>
  <si>
    <t>711212001R00</t>
  </si>
  <si>
    <t>Nátěr hydroizolační</t>
  </si>
  <si>
    <t>6</t>
  </si>
  <si>
    <t>998711201R00</t>
  </si>
  <si>
    <t>Přesun hmot pro izolace proti vodě, výšky do 6 m</t>
  </si>
  <si>
    <t>%</t>
  </si>
  <si>
    <t>766</t>
  </si>
  <si>
    <t>Konstrukce truhlářské</t>
  </si>
  <si>
    <t>766662811R00</t>
  </si>
  <si>
    <t>Demontáž prahů dveří 1křídlových</t>
  </si>
  <si>
    <t>kus</t>
  </si>
  <si>
    <t>766_</t>
  </si>
  <si>
    <t>776</t>
  </si>
  <si>
    <t>Podlahy povlakové</t>
  </si>
  <si>
    <t>8</t>
  </si>
  <si>
    <t>776401800R00</t>
  </si>
  <si>
    <t>Demontáž soklíků nebo lišt, pryžových nebo z PVC</t>
  </si>
  <si>
    <t>m</t>
  </si>
  <si>
    <t>776_</t>
  </si>
  <si>
    <t>9</t>
  </si>
  <si>
    <t>776511810R00</t>
  </si>
  <si>
    <t>Odstranění PVC a koberců  bez podložky</t>
  </si>
  <si>
    <t>10</t>
  </si>
  <si>
    <t>777531024R00</t>
  </si>
  <si>
    <t>Vyrovnání podlah, samonivel. hmota  tl.4 mm</t>
  </si>
  <si>
    <t>11</t>
  </si>
  <si>
    <t>776101101R00</t>
  </si>
  <si>
    <t>Vysávání podlah prům.vysavačem pod povlak.podlahy</t>
  </si>
  <si>
    <t>12</t>
  </si>
  <si>
    <t>776421100RU1</t>
  </si>
  <si>
    <t>Lepení podlahových soklíků z PVC a vinylu</t>
  </si>
  <si>
    <t>13</t>
  </si>
  <si>
    <t>776521200R00</t>
  </si>
  <si>
    <t>Lepení povlakových podlah z dílců PVC a CV (vinyl)</t>
  </si>
  <si>
    <t>14</t>
  </si>
  <si>
    <t>28412388</t>
  </si>
  <si>
    <t>Podlahovina vinylová výběr investorem  tl. 2,5 mm, lamely</t>
  </si>
  <si>
    <t>M</t>
  </si>
  <si>
    <t>15</t>
  </si>
  <si>
    <t>776981112RU2</t>
  </si>
  <si>
    <t>M+D lišta hliníková přechod., stejná výška povl.podlah šířky 35 mm</t>
  </si>
  <si>
    <t>16</t>
  </si>
  <si>
    <t>998776201R00</t>
  </si>
  <si>
    <t>Přesun hmot pro podlahy povlakové, výšky do 6 m</t>
  </si>
  <si>
    <t>784</t>
  </si>
  <si>
    <t>Malby</t>
  </si>
  <si>
    <t>17</t>
  </si>
  <si>
    <t>784011211RT3</t>
  </si>
  <si>
    <t>Olepování vnitřních ploch</t>
  </si>
  <si>
    <t>784_</t>
  </si>
  <si>
    <t>18</t>
  </si>
  <si>
    <t>784011222RT2</t>
  </si>
  <si>
    <t>Zakrytí podlah, včetně odstranění</t>
  </si>
  <si>
    <t>19</t>
  </si>
  <si>
    <t>784402801R00</t>
  </si>
  <si>
    <t>Odstranění malby oškrábáním v místnosti H do 3,8 m</t>
  </si>
  <si>
    <t>20</t>
  </si>
  <si>
    <t>784191301R00</t>
  </si>
  <si>
    <t>Penetrace podkladu protiplísňová Primalex 1x</t>
  </si>
  <si>
    <t>21</t>
  </si>
  <si>
    <t>784195612R00</t>
  </si>
  <si>
    <t>Malba Primalex Mykostop, bez penetrace, bílá, 2 x</t>
  </si>
  <si>
    <t>22</t>
  </si>
  <si>
    <t>784167101R00</t>
  </si>
  <si>
    <t>Vyhlazení  tmelem , 1x (1 mm) 25%</t>
  </si>
  <si>
    <t>95</t>
  </si>
  <si>
    <t>Různé dokončovací konstrukce a práce na pozemních stavbách</t>
  </si>
  <si>
    <t>23</t>
  </si>
  <si>
    <t>952901111R00</t>
  </si>
  <si>
    <t>Vyčištění budov o výšce podlaží do 4 m</t>
  </si>
  <si>
    <t>95_</t>
  </si>
  <si>
    <t>24</t>
  </si>
  <si>
    <t>952904199R00</t>
  </si>
  <si>
    <t>Vysoušení objektu - pronájem  kondenzačního vysoušeče</t>
  </si>
  <si>
    <t>den</t>
  </si>
  <si>
    <t>97</t>
  </si>
  <si>
    <t>Prorážení otvorů a ostatní bourací práce</t>
  </si>
  <si>
    <t>25</t>
  </si>
  <si>
    <t>978013191R00</t>
  </si>
  <si>
    <t>Otlučení omítek vnitřních stěn v rozsahu do 100 %</t>
  </si>
  <si>
    <t>97_</t>
  </si>
  <si>
    <t>26</t>
  </si>
  <si>
    <t>965048515R00</t>
  </si>
  <si>
    <t>Broušení betonových povrchů do tl. 5 mm</t>
  </si>
  <si>
    <t>H99</t>
  </si>
  <si>
    <t>Ostatní přesuny hmot</t>
  </si>
  <si>
    <t>27</t>
  </si>
  <si>
    <t>999281108R00</t>
  </si>
  <si>
    <t>Přesun hmot pro opravy a údržbu</t>
  </si>
  <si>
    <t>t</t>
  </si>
  <si>
    <t>H99_</t>
  </si>
  <si>
    <t>S</t>
  </si>
  <si>
    <t>Přesuny sutí</t>
  </si>
  <si>
    <t>28</t>
  </si>
  <si>
    <t>979011111R00</t>
  </si>
  <si>
    <t>Svislá doprava suti a vybour. hmot za 2.NP a 1.PP</t>
  </si>
  <si>
    <t>S_</t>
  </si>
  <si>
    <t>29</t>
  </si>
  <si>
    <t>979083117R00</t>
  </si>
  <si>
    <t>Vodorovné přemístění suti na skládku do 6000 m</t>
  </si>
  <si>
    <t>30</t>
  </si>
  <si>
    <t>979083191R00</t>
  </si>
  <si>
    <t>Příplatek za dalších započatých 1000 m nad 6000 m</t>
  </si>
  <si>
    <t>31</t>
  </si>
  <si>
    <t>979086213R00</t>
  </si>
  <si>
    <t>Nakládání vybouraných hmot na dopravní prostředek</t>
  </si>
  <si>
    <t>32</t>
  </si>
  <si>
    <t>979093111R00</t>
  </si>
  <si>
    <t>Uložení suti na skládku bez zhutnění</t>
  </si>
  <si>
    <t>33</t>
  </si>
  <si>
    <t>979990107R00</t>
  </si>
  <si>
    <t>Poplatek za uložení suti - směs</t>
  </si>
  <si>
    <t>34</t>
  </si>
  <si>
    <t>979082111R00</t>
  </si>
  <si>
    <t>Vnitrostaveništní doprava suti do 10 m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</si>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</sst>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4" fontId="9" fillId="0" borderId="41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8" fillId="0" borderId="44" xfId="0" applyFont="1" applyBorder="1" applyAlignment="1">
      <alignment horizontal="left" vertical="center"/>
    </xf>
    <xf numFmtId="4" fontId="9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4" fontId="9" fillId="0" borderId="39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8" fillId="2" borderId="38" xfId="0" applyNumberFormat="1" applyFont="1" applyFill="1" applyBorder="1" applyAlignment="1">
      <alignment horizontal="right" vertical="center"/>
    </xf>
    <xf numFmtId="4" fontId="8" fillId="2" borderId="43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4" fontId="3" fillId="0" borderId="4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left" vertical="center"/>
    </xf>
    <xf numFmtId="4" fontId="3" fillId="0" borderId="68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2" xfId="0" applyFont="1" applyBorder="1" applyAlignment="1">
      <alignment horizontal="right" vertical="center"/>
    </xf>
    <xf numFmtId="4" fontId="2" fillId="0" borderId="7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4" fontId="8" fillId="0" borderId="73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0" fontId="8" fillId="0" borderId="7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workbookViewId="0">
      <selection activeCell="C8" sqref="C8:D9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59" t="s">
        <v>191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1" t="s">
        <v>1</v>
      </c>
      <c r="B2" s="62"/>
      <c r="C2" s="71" t="str">
        <f>'Stavební rozpočet'!C2</f>
        <v>BD č.p. 315 parc č. st. 367 v K.ú. Brantice</v>
      </c>
      <c r="D2" s="72"/>
      <c r="E2" s="66" t="s">
        <v>5</v>
      </c>
      <c r="F2" s="66" t="str">
        <f>'Stavební rozpočet'!I2</f>
        <v> </v>
      </c>
      <c r="G2" s="62"/>
      <c r="H2" s="66" t="s">
        <v>192</v>
      </c>
      <c r="I2" s="68" t="s">
        <v>47</v>
      </c>
    </row>
    <row r="3" spans="1:9" ht="15" customHeight="1" x14ac:dyDescent="0.25">
      <c r="A3" s="63"/>
      <c r="B3" s="64"/>
      <c r="C3" s="73"/>
      <c r="D3" s="73"/>
      <c r="E3" s="64"/>
      <c r="F3" s="64"/>
      <c r="G3" s="64"/>
      <c r="H3" s="64"/>
      <c r="I3" s="69"/>
    </row>
    <row r="4" spans="1:9" x14ac:dyDescent="0.25">
      <c r="A4" s="65" t="s">
        <v>7</v>
      </c>
      <c r="B4" s="64"/>
      <c r="C4" s="67" t="str">
        <f>'Stavební rozpočet'!C4</f>
        <v>Odstranění škod po povodni</v>
      </c>
      <c r="D4" s="64"/>
      <c r="E4" s="67" t="s">
        <v>10</v>
      </c>
      <c r="F4" s="67" t="str">
        <f>'Stavební rozpočet'!I4</f>
        <v> </v>
      </c>
      <c r="G4" s="64"/>
      <c r="H4" s="67" t="s">
        <v>192</v>
      </c>
      <c r="I4" s="69" t="s">
        <v>47</v>
      </c>
    </row>
    <row r="5" spans="1:9" ht="15" customHeight="1" x14ac:dyDescent="0.25">
      <c r="A5" s="63"/>
      <c r="B5" s="64"/>
      <c r="C5" s="64"/>
      <c r="D5" s="64"/>
      <c r="E5" s="64"/>
      <c r="F5" s="64"/>
      <c r="G5" s="64"/>
      <c r="H5" s="64"/>
      <c r="I5" s="69"/>
    </row>
    <row r="6" spans="1:9" x14ac:dyDescent="0.25">
      <c r="A6" s="65" t="s">
        <v>11</v>
      </c>
      <c r="B6" s="64"/>
      <c r="C6" s="67" t="str">
        <f>'Stavební rozpočet'!C6</f>
        <v>Brantice</v>
      </c>
      <c r="D6" s="64"/>
      <c r="E6" s="67" t="s">
        <v>14</v>
      </c>
      <c r="F6" s="67" t="str">
        <f>'Stavební rozpočet'!I6</f>
        <v> </v>
      </c>
      <c r="G6" s="64"/>
      <c r="H6" s="67" t="s">
        <v>192</v>
      </c>
      <c r="I6" s="69" t="s">
        <v>47</v>
      </c>
    </row>
    <row r="7" spans="1:9" ht="15" customHeight="1" x14ac:dyDescent="0.25">
      <c r="A7" s="63"/>
      <c r="B7" s="64"/>
      <c r="C7" s="64"/>
      <c r="D7" s="64"/>
      <c r="E7" s="64"/>
      <c r="F7" s="64"/>
      <c r="G7" s="64"/>
      <c r="H7" s="64"/>
      <c r="I7" s="69"/>
    </row>
    <row r="8" spans="1:9" x14ac:dyDescent="0.25">
      <c r="A8" s="65" t="s">
        <v>9</v>
      </c>
      <c r="B8" s="64"/>
      <c r="C8" s="67"/>
      <c r="D8" s="64"/>
      <c r="E8" s="67" t="s">
        <v>13</v>
      </c>
      <c r="F8" s="67" t="str">
        <f>'Stavební rozpočet'!G6</f>
        <v xml:space="preserve"> </v>
      </c>
      <c r="G8" s="64"/>
      <c r="H8" s="64" t="s">
        <v>193</v>
      </c>
      <c r="I8" s="70">
        <v>34</v>
      </c>
    </row>
    <row r="9" spans="1:9" x14ac:dyDescent="0.25">
      <c r="A9" s="63"/>
      <c r="B9" s="64"/>
      <c r="C9" s="64"/>
      <c r="D9" s="64"/>
      <c r="E9" s="64"/>
      <c r="F9" s="64"/>
      <c r="G9" s="64"/>
      <c r="H9" s="64"/>
      <c r="I9" s="69"/>
    </row>
    <row r="10" spans="1:9" x14ac:dyDescent="0.25">
      <c r="A10" s="65" t="s">
        <v>15</v>
      </c>
      <c r="B10" s="64"/>
      <c r="C10" s="67" t="str">
        <f>'Stavební rozpočet'!C8</f>
        <v xml:space="preserve"> </v>
      </c>
      <c r="D10" s="64"/>
      <c r="E10" s="67" t="s">
        <v>17</v>
      </c>
      <c r="F10" s="67" t="str">
        <f>'Stavební rozpočet'!I8</f>
        <v> </v>
      </c>
      <c r="G10" s="64"/>
      <c r="H10" s="64" t="s">
        <v>194</v>
      </c>
      <c r="I10" s="75"/>
    </row>
    <row r="11" spans="1:9" x14ac:dyDescent="0.25">
      <c r="A11" s="80"/>
      <c r="B11" s="74"/>
      <c r="C11" s="74"/>
      <c r="D11" s="74"/>
      <c r="E11" s="74"/>
      <c r="F11" s="74"/>
      <c r="G11" s="74"/>
      <c r="H11" s="74"/>
      <c r="I11" s="76"/>
    </row>
    <row r="12" spans="1:9" ht="23.25" x14ac:dyDescent="0.25">
      <c r="A12" s="77" t="s">
        <v>195</v>
      </c>
      <c r="B12" s="77"/>
      <c r="C12" s="77"/>
      <c r="D12" s="77"/>
      <c r="E12" s="77"/>
      <c r="F12" s="77"/>
      <c r="G12" s="77"/>
      <c r="H12" s="77"/>
      <c r="I12" s="77"/>
    </row>
    <row r="13" spans="1:9" ht="26.25" customHeight="1" x14ac:dyDescent="0.25">
      <c r="A13" s="37" t="s">
        <v>196</v>
      </c>
      <c r="B13" s="78" t="s">
        <v>197</v>
      </c>
      <c r="C13" s="79"/>
      <c r="D13" s="38" t="s">
        <v>198</v>
      </c>
      <c r="E13" s="78" t="s">
        <v>199</v>
      </c>
      <c r="F13" s="79"/>
      <c r="G13" s="38" t="s">
        <v>200</v>
      </c>
      <c r="H13" s="78" t="s">
        <v>201</v>
      </c>
      <c r="I13" s="79"/>
    </row>
    <row r="14" spans="1:9" ht="15.75" x14ac:dyDescent="0.25">
      <c r="A14" s="39" t="s">
        <v>202</v>
      </c>
      <c r="B14" s="40" t="s">
        <v>203</v>
      </c>
      <c r="C14" s="41">
        <f>SUM('Stavební rozpočet'!AB12:AB110)</f>
        <v>0</v>
      </c>
      <c r="D14" s="87" t="s">
        <v>204</v>
      </c>
      <c r="E14" s="88"/>
      <c r="F14" s="41">
        <f>VORN!I15</f>
        <v>0</v>
      </c>
      <c r="G14" s="87" t="s">
        <v>205</v>
      </c>
      <c r="H14" s="88"/>
      <c r="I14" s="42">
        <f>VORN!I21</f>
        <v>0</v>
      </c>
    </row>
    <row r="15" spans="1:9" ht="15.75" x14ac:dyDescent="0.25">
      <c r="A15" s="43" t="s">
        <v>47</v>
      </c>
      <c r="B15" s="40" t="s">
        <v>32</v>
      </c>
      <c r="C15" s="41">
        <f>SUM('Stavební rozpočet'!AC12:AC110)</f>
        <v>0</v>
      </c>
      <c r="D15" s="87" t="s">
        <v>206</v>
      </c>
      <c r="E15" s="88"/>
      <c r="F15" s="41">
        <f>VORN!I16</f>
        <v>0</v>
      </c>
      <c r="G15" s="87" t="s">
        <v>207</v>
      </c>
      <c r="H15" s="88"/>
      <c r="I15" s="42">
        <f>VORN!I22</f>
        <v>0</v>
      </c>
    </row>
    <row r="16" spans="1:9" ht="15.75" x14ac:dyDescent="0.25">
      <c r="A16" s="39" t="s">
        <v>208</v>
      </c>
      <c r="B16" s="40" t="s">
        <v>203</v>
      </c>
      <c r="C16" s="41">
        <f>SUM('Stavební rozpočet'!AD12:AD110)</f>
        <v>0</v>
      </c>
      <c r="D16" s="87" t="s">
        <v>209</v>
      </c>
      <c r="E16" s="88"/>
      <c r="F16" s="41">
        <f>VORN!I17</f>
        <v>0</v>
      </c>
      <c r="G16" s="87" t="s">
        <v>210</v>
      </c>
      <c r="H16" s="88"/>
      <c r="I16" s="42">
        <f>VORN!I23</f>
        <v>0</v>
      </c>
    </row>
    <row r="17" spans="1:9" ht="15.75" x14ac:dyDescent="0.25">
      <c r="A17" s="43" t="s">
        <v>47</v>
      </c>
      <c r="B17" s="40" t="s">
        <v>32</v>
      </c>
      <c r="C17" s="41">
        <f>SUM('Stavební rozpočet'!AE12:AE110)</f>
        <v>0</v>
      </c>
      <c r="D17" s="87" t="s">
        <v>47</v>
      </c>
      <c r="E17" s="88"/>
      <c r="F17" s="42" t="s">
        <v>47</v>
      </c>
      <c r="G17" s="87" t="s">
        <v>211</v>
      </c>
      <c r="H17" s="88"/>
      <c r="I17" s="42">
        <f>VORN!I24</f>
        <v>0</v>
      </c>
    </row>
    <row r="18" spans="1:9" ht="15.75" x14ac:dyDescent="0.25">
      <c r="A18" s="39" t="s">
        <v>212</v>
      </c>
      <c r="B18" s="40" t="s">
        <v>203</v>
      </c>
      <c r="C18" s="41">
        <f>SUM('Stavební rozpočet'!AF12:AF110)</f>
        <v>0</v>
      </c>
      <c r="D18" s="87" t="s">
        <v>47</v>
      </c>
      <c r="E18" s="88"/>
      <c r="F18" s="42" t="s">
        <v>47</v>
      </c>
      <c r="G18" s="87" t="s">
        <v>213</v>
      </c>
      <c r="H18" s="88"/>
      <c r="I18" s="42">
        <f>VORN!I25</f>
        <v>0</v>
      </c>
    </row>
    <row r="19" spans="1:9" ht="15.75" x14ac:dyDescent="0.25">
      <c r="A19" s="43" t="s">
        <v>47</v>
      </c>
      <c r="B19" s="40" t="s">
        <v>32</v>
      </c>
      <c r="C19" s="41">
        <f>SUM('Stavební rozpočet'!AG12:AG110)</f>
        <v>0</v>
      </c>
      <c r="D19" s="87" t="s">
        <v>47</v>
      </c>
      <c r="E19" s="88"/>
      <c r="F19" s="42" t="s">
        <v>47</v>
      </c>
      <c r="G19" s="87" t="s">
        <v>214</v>
      </c>
      <c r="H19" s="88"/>
      <c r="I19" s="42">
        <f>VORN!I26</f>
        <v>0</v>
      </c>
    </row>
    <row r="20" spans="1:9" ht="15.75" x14ac:dyDescent="0.25">
      <c r="A20" s="81" t="s">
        <v>215</v>
      </c>
      <c r="B20" s="82"/>
      <c r="C20" s="41">
        <f>SUM('Stavební rozpočet'!AH12:AH110)</f>
        <v>0</v>
      </c>
      <c r="D20" s="87" t="s">
        <v>47</v>
      </c>
      <c r="E20" s="88"/>
      <c r="F20" s="42" t="s">
        <v>47</v>
      </c>
      <c r="G20" s="87" t="s">
        <v>47</v>
      </c>
      <c r="H20" s="88"/>
      <c r="I20" s="42" t="s">
        <v>47</v>
      </c>
    </row>
    <row r="21" spans="1:9" ht="15.75" x14ac:dyDescent="0.25">
      <c r="A21" s="83" t="s">
        <v>216</v>
      </c>
      <c r="B21" s="84"/>
      <c r="C21" s="44">
        <f>SUM('Stavební rozpočet'!Z12:Z110)</f>
        <v>0</v>
      </c>
      <c r="D21" s="89" t="s">
        <v>47</v>
      </c>
      <c r="E21" s="90"/>
      <c r="F21" s="45" t="s">
        <v>47</v>
      </c>
      <c r="G21" s="89" t="s">
        <v>47</v>
      </c>
      <c r="H21" s="90"/>
      <c r="I21" s="45" t="s">
        <v>47</v>
      </c>
    </row>
    <row r="22" spans="1:9" ht="16.5" customHeight="1" x14ac:dyDescent="0.25">
      <c r="A22" s="85" t="s">
        <v>217</v>
      </c>
      <c r="B22" s="86"/>
      <c r="C22" s="46">
        <f>ROUND(SUM(C14:C21),0)</f>
        <v>0</v>
      </c>
      <c r="D22" s="91" t="s">
        <v>218</v>
      </c>
      <c r="E22" s="86"/>
      <c r="F22" s="46">
        <f>SUM(F14:F21)</f>
        <v>0</v>
      </c>
      <c r="G22" s="91" t="s">
        <v>219</v>
      </c>
      <c r="H22" s="86"/>
      <c r="I22" s="46">
        <f>SUM(I14:I21)</f>
        <v>0</v>
      </c>
    </row>
    <row r="23" spans="1:9" ht="15.75" x14ac:dyDescent="0.25">
      <c r="D23" s="81" t="s">
        <v>220</v>
      </c>
      <c r="E23" s="82"/>
      <c r="F23" s="47">
        <v>0</v>
      </c>
      <c r="G23" s="92" t="s">
        <v>221</v>
      </c>
      <c r="H23" s="82"/>
      <c r="I23" s="41">
        <v>0</v>
      </c>
    </row>
    <row r="24" spans="1:9" ht="15.75" x14ac:dyDescent="0.25">
      <c r="G24" s="81" t="s">
        <v>222</v>
      </c>
      <c r="H24" s="82"/>
      <c r="I24" s="44">
        <f>vorn_sum</f>
        <v>0</v>
      </c>
    </row>
    <row r="25" spans="1:9" ht="15.75" x14ac:dyDescent="0.25">
      <c r="G25" s="81" t="s">
        <v>223</v>
      </c>
      <c r="H25" s="82"/>
      <c r="I25" s="46">
        <v>0</v>
      </c>
    </row>
    <row r="27" spans="1:9" ht="15.75" x14ac:dyDescent="0.25">
      <c r="A27" s="93" t="s">
        <v>224</v>
      </c>
      <c r="B27" s="94"/>
      <c r="C27" s="48">
        <f>ROUND(SUM('Stavební rozpočet'!AJ12:AJ110),0)</f>
        <v>0</v>
      </c>
    </row>
    <row r="28" spans="1:9" ht="15.75" x14ac:dyDescent="0.25">
      <c r="A28" s="95" t="s">
        <v>225</v>
      </c>
      <c r="B28" s="96"/>
      <c r="C28" s="49">
        <f>ROUND(SUM('Stavební rozpočet'!AK12:AK110)+(F22+I22+F23+I23+I24+I25),0)</f>
        <v>0</v>
      </c>
      <c r="D28" s="97" t="s">
        <v>226</v>
      </c>
      <c r="E28" s="94"/>
      <c r="F28" s="48">
        <f>ROUND(C28*(12/100),2)</f>
        <v>0</v>
      </c>
      <c r="G28" s="97" t="s">
        <v>227</v>
      </c>
      <c r="H28" s="94"/>
      <c r="I28" s="48">
        <f>ROUND(SUM(C27:C29),0)</f>
        <v>0</v>
      </c>
    </row>
    <row r="29" spans="1:9" ht="15.75" x14ac:dyDescent="0.25">
      <c r="A29" s="95" t="s">
        <v>228</v>
      </c>
      <c r="B29" s="96"/>
      <c r="C29" s="49">
        <f>ROUND(SUM('Stavební rozpočet'!AL12:AL110),0)</f>
        <v>0</v>
      </c>
      <c r="D29" s="98" t="s">
        <v>229</v>
      </c>
      <c r="E29" s="96"/>
      <c r="F29" s="49">
        <f>ROUND(C29*(21/100),2)</f>
        <v>0</v>
      </c>
      <c r="G29" s="98" t="s">
        <v>230</v>
      </c>
      <c r="H29" s="96"/>
      <c r="I29" s="49">
        <f>ROUND(SUM(F28:F29)+I28,0)</f>
        <v>0</v>
      </c>
    </row>
    <row r="31" spans="1:9" x14ac:dyDescent="0.25">
      <c r="A31" s="108" t="s">
        <v>231</v>
      </c>
      <c r="B31" s="100"/>
      <c r="C31" s="101"/>
      <c r="D31" s="99" t="s">
        <v>232</v>
      </c>
      <c r="E31" s="100"/>
      <c r="F31" s="101"/>
      <c r="G31" s="99" t="s">
        <v>233</v>
      </c>
      <c r="H31" s="100"/>
      <c r="I31" s="101"/>
    </row>
    <row r="32" spans="1:9" x14ac:dyDescent="0.25">
      <c r="A32" s="109" t="s">
        <v>47</v>
      </c>
      <c r="B32" s="103"/>
      <c r="C32" s="104"/>
      <c r="D32" s="102" t="s">
        <v>47</v>
      </c>
      <c r="E32" s="103"/>
      <c r="F32" s="104"/>
      <c r="G32" s="102" t="s">
        <v>47</v>
      </c>
      <c r="H32" s="103"/>
      <c r="I32" s="104"/>
    </row>
    <row r="33" spans="1:9" x14ac:dyDescent="0.25">
      <c r="A33" s="109" t="s">
        <v>47</v>
      </c>
      <c r="B33" s="103"/>
      <c r="C33" s="104"/>
      <c r="D33" s="102" t="s">
        <v>47</v>
      </c>
      <c r="E33" s="103"/>
      <c r="F33" s="104"/>
      <c r="G33" s="102" t="s">
        <v>47</v>
      </c>
      <c r="H33" s="103"/>
      <c r="I33" s="104"/>
    </row>
    <row r="34" spans="1:9" x14ac:dyDescent="0.25">
      <c r="A34" s="109" t="s">
        <v>47</v>
      </c>
      <c r="B34" s="103"/>
      <c r="C34" s="104"/>
      <c r="D34" s="102" t="s">
        <v>47</v>
      </c>
      <c r="E34" s="103"/>
      <c r="F34" s="104"/>
      <c r="G34" s="102" t="s">
        <v>47</v>
      </c>
      <c r="H34" s="103"/>
      <c r="I34" s="104"/>
    </row>
    <row r="35" spans="1:9" x14ac:dyDescent="0.25">
      <c r="A35" s="110" t="s">
        <v>234</v>
      </c>
      <c r="B35" s="106"/>
      <c r="C35" s="107"/>
      <c r="D35" s="105" t="s">
        <v>234</v>
      </c>
      <c r="E35" s="106"/>
      <c r="F35" s="107"/>
      <c r="G35" s="105" t="s">
        <v>234</v>
      </c>
      <c r="H35" s="106"/>
      <c r="I35" s="107"/>
    </row>
    <row r="36" spans="1:9" x14ac:dyDescent="0.25">
      <c r="A36" s="50" t="s">
        <v>190</v>
      </c>
    </row>
    <row r="37" spans="1:9" ht="12.75" customHeight="1" x14ac:dyDescent="0.25">
      <c r="A37" s="67" t="s">
        <v>47</v>
      </c>
      <c r="B37" s="64"/>
      <c r="C37" s="64"/>
      <c r="D37" s="64"/>
      <c r="E37" s="64"/>
      <c r="F37" s="64"/>
      <c r="G37" s="64"/>
      <c r="H37" s="64"/>
      <c r="I37" s="64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58"/>
  <sheetViews>
    <sheetView workbookViewId="0">
      <pane ySplit="11" topLeftCell="A12" activePane="bottomLeft" state="frozen"/>
      <selection pane="bottomLeft" activeCell="C2" sqref="C2:D3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4.7109375" customWidth="1"/>
    <col min="6" max="6" width="12.85546875" customWidth="1"/>
    <col min="7" max="7" width="12" customWidth="1"/>
    <col min="8" max="10" width="15.7109375" customWidth="1"/>
    <col min="11" max="11" width="14.71093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61" t="s">
        <v>1</v>
      </c>
      <c r="B2" s="62"/>
      <c r="C2" s="71" t="s">
        <v>2</v>
      </c>
      <c r="D2" s="72"/>
      <c r="E2" s="62" t="s">
        <v>3</v>
      </c>
      <c r="F2" s="62"/>
      <c r="G2" s="62" t="s">
        <v>4</v>
      </c>
      <c r="H2" s="66" t="s">
        <v>5</v>
      </c>
      <c r="I2" s="62" t="s">
        <v>6</v>
      </c>
      <c r="J2" s="62"/>
      <c r="K2" s="68"/>
    </row>
    <row r="3" spans="1:76" x14ac:dyDescent="0.25">
      <c r="A3" s="63"/>
      <c r="B3" s="64"/>
      <c r="C3" s="73"/>
      <c r="D3" s="73"/>
      <c r="E3" s="64"/>
      <c r="F3" s="64"/>
      <c r="G3" s="64"/>
      <c r="H3" s="64"/>
      <c r="I3" s="64"/>
      <c r="J3" s="64"/>
      <c r="K3" s="69"/>
    </row>
    <row r="4" spans="1:76" x14ac:dyDescent="0.25">
      <c r="A4" s="65" t="s">
        <v>7</v>
      </c>
      <c r="B4" s="64"/>
      <c r="C4" s="67" t="s">
        <v>8</v>
      </c>
      <c r="D4" s="64"/>
      <c r="E4" s="64" t="s">
        <v>9</v>
      </c>
      <c r="F4" s="64"/>
      <c r="G4" s="64"/>
      <c r="H4" s="67" t="s">
        <v>10</v>
      </c>
      <c r="I4" s="64" t="s">
        <v>6</v>
      </c>
      <c r="J4" s="64"/>
      <c r="K4" s="69"/>
    </row>
    <row r="5" spans="1:76" x14ac:dyDescent="0.25">
      <c r="A5" s="63"/>
      <c r="B5" s="64"/>
      <c r="C5" s="64"/>
      <c r="D5" s="64"/>
      <c r="E5" s="64"/>
      <c r="F5" s="64"/>
      <c r="G5" s="64"/>
      <c r="H5" s="64"/>
      <c r="I5" s="64"/>
      <c r="J5" s="64"/>
      <c r="K5" s="69"/>
    </row>
    <row r="6" spans="1:76" x14ac:dyDescent="0.25">
      <c r="A6" s="65" t="s">
        <v>11</v>
      </c>
      <c r="B6" s="64"/>
      <c r="C6" s="67" t="s">
        <v>12</v>
      </c>
      <c r="D6" s="64"/>
      <c r="E6" s="64" t="s">
        <v>13</v>
      </c>
      <c r="F6" s="64"/>
      <c r="G6" s="64" t="s">
        <v>4</v>
      </c>
      <c r="H6" s="67" t="s">
        <v>14</v>
      </c>
      <c r="I6" s="64" t="s">
        <v>6</v>
      </c>
      <c r="J6" s="64"/>
      <c r="K6" s="69"/>
    </row>
    <row r="7" spans="1:76" x14ac:dyDescent="0.25">
      <c r="A7" s="63"/>
      <c r="B7" s="64"/>
      <c r="C7" s="64"/>
      <c r="D7" s="64"/>
      <c r="E7" s="64"/>
      <c r="F7" s="64"/>
      <c r="G7" s="64"/>
      <c r="H7" s="64"/>
      <c r="I7" s="64"/>
      <c r="J7" s="64"/>
      <c r="K7" s="69"/>
    </row>
    <row r="8" spans="1:76" x14ac:dyDescent="0.25">
      <c r="A8" s="65" t="s">
        <v>15</v>
      </c>
      <c r="B8" s="64"/>
      <c r="C8" s="67" t="s">
        <v>4</v>
      </c>
      <c r="D8" s="64"/>
      <c r="E8" s="64" t="s">
        <v>16</v>
      </c>
      <c r="F8" s="64"/>
      <c r="G8" s="64"/>
      <c r="H8" s="67" t="s">
        <v>17</v>
      </c>
      <c r="I8" s="64" t="s">
        <v>6</v>
      </c>
      <c r="J8" s="64"/>
      <c r="K8" s="69"/>
    </row>
    <row r="9" spans="1:76" x14ac:dyDescent="0.25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3"/>
    </row>
    <row r="10" spans="1:76" x14ac:dyDescent="0.25">
      <c r="A10" s="5" t="s">
        <v>18</v>
      </c>
      <c r="B10" s="6" t="s">
        <v>19</v>
      </c>
      <c r="C10" s="114" t="s">
        <v>20</v>
      </c>
      <c r="D10" s="115"/>
      <c r="E10" s="6" t="s">
        <v>21</v>
      </c>
      <c r="F10" s="7" t="s">
        <v>22</v>
      </c>
      <c r="G10" s="8" t="s">
        <v>23</v>
      </c>
      <c r="H10" s="118" t="s">
        <v>24</v>
      </c>
      <c r="I10" s="119"/>
      <c r="J10" s="120"/>
      <c r="K10" s="9" t="s">
        <v>25</v>
      </c>
      <c r="BK10" s="10" t="s">
        <v>26</v>
      </c>
      <c r="BL10" s="11" t="s">
        <v>27</v>
      </c>
      <c r="BW10" s="11" t="s">
        <v>28</v>
      </c>
    </row>
    <row r="11" spans="1:76" x14ac:dyDescent="0.25">
      <c r="A11" s="12" t="s">
        <v>4</v>
      </c>
      <c r="B11" s="13" t="s">
        <v>4</v>
      </c>
      <c r="C11" s="116" t="s">
        <v>29</v>
      </c>
      <c r="D11" s="117"/>
      <c r="E11" s="13" t="s">
        <v>4</v>
      </c>
      <c r="F11" s="13" t="s">
        <v>4</v>
      </c>
      <c r="G11" s="14" t="s">
        <v>30</v>
      </c>
      <c r="H11" s="15" t="s">
        <v>31</v>
      </c>
      <c r="I11" s="16" t="s">
        <v>32</v>
      </c>
      <c r="J11" s="17" t="s">
        <v>33</v>
      </c>
      <c r="K11" s="18" t="s">
        <v>34</v>
      </c>
      <c r="Z11" s="10" t="s">
        <v>35</v>
      </c>
      <c r="AA11" s="10" t="s">
        <v>36</v>
      </c>
      <c r="AB11" s="10" t="s">
        <v>37</v>
      </c>
      <c r="AC11" s="10" t="s">
        <v>38</v>
      </c>
      <c r="AD11" s="10" t="s">
        <v>39</v>
      </c>
      <c r="AE11" s="10" t="s">
        <v>40</v>
      </c>
      <c r="AF11" s="10" t="s">
        <v>41</v>
      </c>
      <c r="AG11" s="10" t="s">
        <v>42</v>
      </c>
      <c r="AH11" s="10" t="s">
        <v>43</v>
      </c>
      <c r="BH11" s="10" t="s">
        <v>44</v>
      </c>
      <c r="BI11" s="10" t="s">
        <v>45</v>
      </c>
      <c r="BJ11" s="10" t="s">
        <v>46</v>
      </c>
    </row>
    <row r="12" spans="1:76" x14ac:dyDescent="0.25">
      <c r="A12" s="19" t="s">
        <v>47</v>
      </c>
      <c r="B12" s="20" t="s">
        <v>48</v>
      </c>
      <c r="C12" s="121" t="s">
        <v>49</v>
      </c>
      <c r="D12" s="122"/>
      <c r="E12" s="21" t="s">
        <v>4</v>
      </c>
      <c r="F12" s="21" t="s">
        <v>4</v>
      </c>
      <c r="G12" s="21" t="s">
        <v>4</v>
      </c>
      <c r="H12" s="22">
        <f>ROUND(SUM(H13:H13),0)</f>
        <v>0</v>
      </c>
      <c r="I12" s="22">
        <f>ROUND(SUM(I13:I13),0)</f>
        <v>0</v>
      </c>
      <c r="J12" s="22">
        <f>ROUND(SUM(J13:J13),0)</f>
        <v>0</v>
      </c>
      <c r="K12" s="23" t="s">
        <v>47</v>
      </c>
      <c r="AI12" s="10" t="s">
        <v>47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 x14ac:dyDescent="0.25">
      <c r="A13" s="2" t="s">
        <v>50</v>
      </c>
      <c r="B13" s="3" t="s">
        <v>51</v>
      </c>
      <c r="C13" s="67" t="s">
        <v>52</v>
      </c>
      <c r="D13" s="64"/>
      <c r="E13" s="3" t="s">
        <v>53</v>
      </c>
      <c r="F13" s="24">
        <v>13.42</v>
      </c>
      <c r="G13" s="24">
        <v>0</v>
      </c>
      <c r="H13" s="24">
        <f>ROUND(F13*AO13,2)</f>
        <v>0</v>
      </c>
      <c r="I13" s="24">
        <f>ROUND(F13*AP13,2)</f>
        <v>0</v>
      </c>
      <c r="J13" s="24">
        <f>F13*G13</f>
        <v>0</v>
      </c>
      <c r="K13" s="25"/>
      <c r="Z13" s="24">
        <f>ROUND(IF(AQ13="5",BJ13,0),2)</f>
        <v>0</v>
      </c>
      <c r="AB13" s="24">
        <f>ROUND(IF(AQ13="1",BH13,0),2)</f>
        <v>0</v>
      </c>
      <c r="AC13" s="24">
        <f>ROUND(IF(AQ13="1",BI13,0),2)</f>
        <v>0</v>
      </c>
      <c r="AD13" s="24">
        <f>ROUND(IF(AQ13="7",BH13,0),2)</f>
        <v>0</v>
      </c>
      <c r="AE13" s="24">
        <f>ROUND(IF(AQ13="7",BI13,0),2)</f>
        <v>0</v>
      </c>
      <c r="AF13" s="24">
        <f>ROUND(IF(AQ13="2",BH13,0),2)</f>
        <v>0</v>
      </c>
      <c r="AG13" s="24">
        <f>ROUND(IF(AQ13="2",BI13,0),2)</f>
        <v>0</v>
      </c>
      <c r="AH13" s="24">
        <f>ROUND(IF(AQ13="0",BJ13,0),2)</f>
        <v>0</v>
      </c>
      <c r="AI13" s="10" t="s">
        <v>47</v>
      </c>
      <c r="AJ13" s="24">
        <f>IF(AN13=0,J13,0)</f>
        <v>0</v>
      </c>
      <c r="AK13" s="24">
        <f>IF(AN13=12,J13,0)</f>
        <v>0</v>
      </c>
      <c r="AL13" s="24">
        <f>IF(AN13=21,J13,0)</f>
        <v>0</v>
      </c>
      <c r="AN13" s="24">
        <v>12</v>
      </c>
      <c r="AO13" s="24">
        <f>G13*0.254932498</f>
        <v>0</v>
      </c>
      <c r="AP13" s="24">
        <f>G13*(1-0.254932498)</f>
        <v>0</v>
      </c>
      <c r="AQ13" s="26" t="s">
        <v>50</v>
      </c>
      <c r="AV13" s="24">
        <f>ROUND(AW13+AX13,2)</f>
        <v>0</v>
      </c>
      <c r="AW13" s="24">
        <f>ROUND(F13*AO13,2)</f>
        <v>0</v>
      </c>
      <c r="AX13" s="24">
        <f>ROUND(F13*AP13,2)</f>
        <v>0</v>
      </c>
      <c r="AY13" s="26" t="s">
        <v>54</v>
      </c>
      <c r="AZ13" s="26" t="s">
        <v>54</v>
      </c>
      <c r="BA13" s="10" t="s">
        <v>55</v>
      </c>
      <c r="BC13" s="24">
        <f>AW13+AX13</f>
        <v>0</v>
      </c>
      <c r="BD13" s="24">
        <f>G13/(100-BE13)*100</f>
        <v>0</v>
      </c>
      <c r="BE13" s="24">
        <v>0</v>
      </c>
      <c r="BF13" s="24">
        <f>13</f>
        <v>13</v>
      </c>
      <c r="BH13" s="24">
        <f>F13*AO13</f>
        <v>0</v>
      </c>
      <c r="BI13" s="24">
        <f>F13*AP13</f>
        <v>0</v>
      </c>
      <c r="BJ13" s="24">
        <f>F13*G13</f>
        <v>0</v>
      </c>
      <c r="BK13" s="26" t="s">
        <v>56</v>
      </c>
      <c r="BL13" s="24">
        <v>61</v>
      </c>
      <c r="BW13" s="24">
        <v>12</v>
      </c>
      <c r="BX13" s="4" t="s">
        <v>52</v>
      </c>
    </row>
    <row r="14" spans="1:76" x14ac:dyDescent="0.25">
      <c r="A14" s="27" t="s">
        <v>47</v>
      </c>
      <c r="B14" s="28" t="s">
        <v>57</v>
      </c>
      <c r="C14" s="123" t="s">
        <v>58</v>
      </c>
      <c r="D14" s="124"/>
      <c r="E14" s="29" t="s">
        <v>4</v>
      </c>
      <c r="F14" s="29" t="s">
        <v>4</v>
      </c>
      <c r="G14" s="29" t="s">
        <v>4</v>
      </c>
      <c r="H14" s="1">
        <f>ROUND(SUM(H15:H15),0)</f>
        <v>0</v>
      </c>
      <c r="I14" s="1">
        <f>ROUND(SUM(I15:I15),0)</f>
        <v>0</v>
      </c>
      <c r="J14" s="1">
        <f>ROUND(SUM(J15:J15),0)</f>
        <v>0</v>
      </c>
      <c r="K14" s="30"/>
      <c r="AI14" s="10" t="s">
        <v>47</v>
      </c>
      <c r="AS14" s="1">
        <f>SUM(AJ15:AJ15)</f>
        <v>0</v>
      </c>
      <c r="AT14" s="1">
        <f>SUM(AK15:AK15)</f>
        <v>0</v>
      </c>
      <c r="AU14" s="1">
        <f>SUM(AL15:AL15)</f>
        <v>0</v>
      </c>
    </row>
    <row r="15" spans="1:76" x14ac:dyDescent="0.25">
      <c r="A15" s="2" t="s">
        <v>59</v>
      </c>
      <c r="B15" s="3" t="s">
        <v>60</v>
      </c>
      <c r="C15" s="67" t="s">
        <v>61</v>
      </c>
      <c r="D15" s="64"/>
      <c r="E15" s="3" t="s">
        <v>53</v>
      </c>
      <c r="F15" s="24">
        <v>48.86</v>
      </c>
      <c r="G15" s="24">
        <v>0</v>
      </c>
      <c r="H15" s="24">
        <f>ROUND(F15*AO15,2)</f>
        <v>0</v>
      </c>
      <c r="I15" s="24">
        <f>ROUND(F15*AP15,2)</f>
        <v>0</v>
      </c>
      <c r="J15" s="24">
        <f>F15*G15</f>
        <v>0</v>
      </c>
      <c r="K15" s="25"/>
      <c r="Z15" s="24">
        <f>ROUND(IF(AQ15="5",BJ15,0),2)</f>
        <v>0</v>
      </c>
      <c r="AB15" s="24">
        <f>ROUND(IF(AQ15="1",BH15,0),2)</f>
        <v>0</v>
      </c>
      <c r="AC15" s="24">
        <f>ROUND(IF(AQ15="1",BI15,0),2)</f>
        <v>0</v>
      </c>
      <c r="AD15" s="24">
        <f>ROUND(IF(AQ15="7",BH15,0),2)</f>
        <v>0</v>
      </c>
      <c r="AE15" s="24">
        <f>ROUND(IF(AQ15="7",BI15,0),2)</f>
        <v>0</v>
      </c>
      <c r="AF15" s="24">
        <f>ROUND(IF(AQ15="2",BH15,0),2)</f>
        <v>0</v>
      </c>
      <c r="AG15" s="24">
        <f>ROUND(IF(AQ15="2",BI15,0),2)</f>
        <v>0</v>
      </c>
      <c r="AH15" s="24">
        <f>ROUND(IF(AQ15="0",BJ15,0),2)</f>
        <v>0</v>
      </c>
      <c r="AI15" s="10" t="s">
        <v>47</v>
      </c>
      <c r="AJ15" s="24">
        <f>IF(AN15=0,J15,0)</f>
        <v>0</v>
      </c>
      <c r="AK15" s="24">
        <f>IF(AN15=12,J15,0)</f>
        <v>0</v>
      </c>
      <c r="AL15" s="24">
        <f>IF(AN15=21,J15,0)</f>
        <v>0</v>
      </c>
      <c r="AN15" s="24">
        <v>12</v>
      </c>
      <c r="AO15" s="24">
        <f>G15*0.744830405</f>
        <v>0</v>
      </c>
      <c r="AP15" s="24">
        <f>G15*(1-0.744830405)</f>
        <v>0</v>
      </c>
      <c r="AQ15" s="26" t="s">
        <v>50</v>
      </c>
      <c r="AV15" s="24">
        <f>ROUND(AW15+AX15,2)</f>
        <v>0</v>
      </c>
      <c r="AW15" s="24">
        <f>ROUND(F15*AO15,2)</f>
        <v>0</v>
      </c>
      <c r="AX15" s="24">
        <f>ROUND(F15*AP15,2)</f>
        <v>0</v>
      </c>
      <c r="AY15" s="26" t="s">
        <v>62</v>
      </c>
      <c r="AZ15" s="26" t="s">
        <v>62</v>
      </c>
      <c r="BA15" s="10" t="s">
        <v>55</v>
      </c>
      <c r="BC15" s="24">
        <f>AW15+AX15</f>
        <v>0</v>
      </c>
      <c r="BD15" s="24">
        <f>G15/(100-BE15)*100</f>
        <v>0</v>
      </c>
      <c r="BE15" s="24">
        <v>0</v>
      </c>
      <c r="BF15" s="24">
        <f>15</f>
        <v>15</v>
      </c>
      <c r="BH15" s="24">
        <f>F15*AO15</f>
        <v>0</v>
      </c>
      <c r="BI15" s="24">
        <f>F15*AP15</f>
        <v>0</v>
      </c>
      <c r="BJ15" s="24">
        <f>F15*G15</f>
        <v>0</v>
      </c>
      <c r="BK15" s="26" t="s">
        <v>56</v>
      </c>
      <c r="BL15" s="24">
        <v>63</v>
      </c>
      <c r="BW15" s="24">
        <v>12</v>
      </c>
      <c r="BX15" s="4" t="s">
        <v>61</v>
      </c>
    </row>
    <row r="16" spans="1:76" x14ac:dyDescent="0.25">
      <c r="A16" s="27" t="s">
        <v>47</v>
      </c>
      <c r="B16" s="28" t="s">
        <v>63</v>
      </c>
      <c r="C16" s="123" t="s">
        <v>64</v>
      </c>
      <c r="D16" s="124"/>
      <c r="E16" s="29" t="s">
        <v>4</v>
      </c>
      <c r="F16" s="29" t="s">
        <v>4</v>
      </c>
      <c r="G16" s="29" t="s">
        <v>4</v>
      </c>
      <c r="H16" s="1">
        <f>ROUND(SUM(H17:H20),0)</f>
        <v>0</v>
      </c>
      <c r="I16" s="1">
        <f>ROUND(SUM(I17:I20),0)</f>
        <v>0</v>
      </c>
      <c r="J16" s="1">
        <f>ROUND(SUM(J17:J20),0)</f>
        <v>0</v>
      </c>
      <c r="K16" s="30"/>
      <c r="AI16" s="10" t="s">
        <v>47</v>
      </c>
      <c r="AS16" s="1">
        <f>SUM(AJ17:AJ20)</f>
        <v>0</v>
      </c>
      <c r="AT16" s="1">
        <f>SUM(AK17:AK20)</f>
        <v>0</v>
      </c>
      <c r="AU16" s="1">
        <f>SUM(AL17:AL20)</f>
        <v>0</v>
      </c>
    </row>
    <row r="17" spans="1:76" x14ac:dyDescent="0.25">
      <c r="A17" s="2" t="s">
        <v>65</v>
      </c>
      <c r="B17" s="3" t="s">
        <v>66</v>
      </c>
      <c r="C17" s="67" t="s">
        <v>67</v>
      </c>
      <c r="D17" s="64"/>
      <c r="E17" s="3" t="s">
        <v>53</v>
      </c>
      <c r="F17" s="24">
        <v>48.86</v>
      </c>
      <c r="G17" s="24">
        <v>0</v>
      </c>
      <c r="H17" s="24">
        <f>ROUND(F17*AO17,2)</f>
        <v>0</v>
      </c>
      <c r="I17" s="24">
        <f>ROUND(F17*AP17,2)</f>
        <v>0</v>
      </c>
      <c r="J17" s="24">
        <f>F17*G17</f>
        <v>0</v>
      </c>
      <c r="K17" s="25"/>
      <c r="Z17" s="24">
        <f>ROUND(IF(AQ17="5",BJ17,0),2)</f>
        <v>0</v>
      </c>
      <c r="AB17" s="24">
        <f>ROUND(IF(AQ17="1",BH17,0),2)</f>
        <v>0</v>
      </c>
      <c r="AC17" s="24">
        <f>ROUND(IF(AQ17="1",BI17,0),2)</f>
        <v>0</v>
      </c>
      <c r="AD17" s="24">
        <f>ROUND(IF(AQ17="7",BH17,0),2)</f>
        <v>0</v>
      </c>
      <c r="AE17" s="24">
        <f>ROUND(IF(AQ17="7",BI17,0),2)</f>
        <v>0</v>
      </c>
      <c r="AF17" s="24">
        <f>ROUND(IF(AQ17="2",BH17,0),2)</f>
        <v>0</v>
      </c>
      <c r="AG17" s="24">
        <f>ROUND(IF(AQ17="2",BI17,0),2)</f>
        <v>0</v>
      </c>
      <c r="AH17" s="24">
        <f>ROUND(IF(AQ17="0",BJ17,0),2)</f>
        <v>0</v>
      </c>
      <c r="AI17" s="10" t="s">
        <v>47</v>
      </c>
      <c r="AJ17" s="24">
        <f>IF(AN17=0,J17,0)</f>
        <v>0</v>
      </c>
      <c r="AK17" s="24">
        <f>IF(AN17=12,J17,0)</f>
        <v>0</v>
      </c>
      <c r="AL17" s="24">
        <f>IF(AN17=21,J17,0)</f>
        <v>0</v>
      </c>
      <c r="AN17" s="24">
        <v>12</v>
      </c>
      <c r="AO17" s="24">
        <f>G17*0</f>
        <v>0</v>
      </c>
      <c r="AP17" s="24">
        <f>G17*(1-0)</f>
        <v>0</v>
      </c>
      <c r="AQ17" s="26" t="s">
        <v>68</v>
      </c>
      <c r="AV17" s="24">
        <f>ROUND(AW17+AX17,2)</f>
        <v>0</v>
      </c>
      <c r="AW17" s="24">
        <f>ROUND(F17*AO17,2)</f>
        <v>0</v>
      </c>
      <c r="AX17" s="24">
        <f>ROUND(F17*AP17,2)</f>
        <v>0</v>
      </c>
      <c r="AY17" s="26" t="s">
        <v>69</v>
      </c>
      <c r="AZ17" s="26" t="s">
        <v>69</v>
      </c>
      <c r="BA17" s="10" t="s">
        <v>55</v>
      </c>
      <c r="BC17" s="24">
        <f>AW17+AX17</f>
        <v>0</v>
      </c>
      <c r="BD17" s="24">
        <f>G17/(100-BE17)*100</f>
        <v>0</v>
      </c>
      <c r="BE17" s="24">
        <v>0</v>
      </c>
      <c r="BF17" s="24">
        <f>17</f>
        <v>17</v>
      </c>
      <c r="BH17" s="24">
        <f>F17*AO17</f>
        <v>0</v>
      </c>
      <c r="BI17" s="24">
        <f>F17*AP17</f>
        <v>0</v>
      </c>
      <c r="BJ17" s="24">
        <f>F17*G17</f>
        <v>0</v>
      </c>
      <c r="BK17" s="26" t="s">
        <v>56</v>
      </c>
      <c r="BL17" s="24">
        <v>711</v>
      </c>
      <c r="BW17" s="24">
        <v>12</v>
      </c>
      <c r="BX17" s="4" t="s">
        <v>67</v>
      </c>
    </row>
    <row r="18" spans="1:76" x14ac:dyDescent="0.25">
      <c r="A18" s="2" t="s">
        <v>70</v>
      </c>
      <c r="B18" s="3" t="s">
        <v>71</v>
      </c>
      <c r="C18" s="67" t="s">
        <v>72</v>
      </c>
      <c r="D18" s="64"/>
      <c r="E18" s="3" t="s">
        <v>53</v>
      </c>
      <c r="F18" s="24">
        <v>97.72</v>
      </c>
      <c r="G18" s="24">
        <v>0</v>
      </c>
      <c r="H18" s="24">
        <f>ROUND(F18*AO18,2)</f>
        <v>0</v>
      </c>
      <c r="I18" s="24">
        <f>ROUND(F18*AP18,2)</f>
        <v>0</v>
      </c>
      <c r="J18" s="24">
        <f>F18*G18</f>
        <v>0</v>
      </c>
      <c r="K18" s="25"/>
      <c r="Z18" s="24">
        <f>ROUND(IF(AQ18="5",BJ18,0),2)</f>
        <v>0</v>
      </c>
      <c r="AB18" s="24">
        <f>ROUND(IF(AQ18="1",BH18,0),2)</f>
        <v>0</v>
      </c>
      <c r="AC18" s="24">
        <f>ROUND(IF(AQ18="1",BI18,0),2)</f>
        <v>0</v>
      </c>
      <c r="AD18" s="24">
        <f>ROUND(IF(AQ18="7",BH18,0),2)</f>
        <v>0</v>
      </c>
      <c r="AE18" s="24">
        <f>ROUND(IF(AQ18="7",BI18,0),2)</f>
        <v>0</v>
      </c>
      <c r="AF18" s="24">
        <f>ROUND(IF(AQ18="2",BH18,0),2)</f>
        <v>0</v>
      </c>
      <c r="AG18" s="24">
        <f>ROUND(IF(AQ18="2",BI18,0),2)</f>
        <v>0</v>
      </c>
      <c r="AH18" s="24">
        <f>ROUND(IF(AQ18="0",BJ18,0),2)</f>
        <v>0</v>
      </c>
      <c r="AI18" s="10" t="s">
        <v>47</v>
      </c>
      <c r="AJ18" s="24">
        <f>IF(AN18=0,J18,0)</f>
        <v>0</v>
      </c>
      <c r="AK18" s="24">
        <f>IF(AN18=12,J18,0)</f>
        <v>0</v>
      </c>
      <c r="AL18" s="24">
        <f>IF(AN18=21,J18,0)</f>
        <v>0</v>
      </c>
      <c r="AN18" s="24">
        <v>12</v>
      </c>
      <c r="AO18" s="24">
        <f>G18*0.317359944</f>
        <v>0</v>
      </c>
      <c r="AP18" s="24">
        <f>G18*(1-0.317359944)</f>
        <v>0</v>
      </c>
      <c r="AQ18" s="26" t="s">
        <v>68</v>
      </c>
      <c r="AV18" s="24">
        <f>ROUND(AW18+AX18,2)</f>
        <v>0</v>
      </c>
      <c r="AW18" s="24">
        <f>ROUND(F18*AO18,2)</f>
        <v>0</v>
      </c>
      <c r="AX18" s="24">
        <f>ROUND(F18*AP18,2)</f>
        <v>0</v>
      </c>
      <c r="AY18" s="26" t="s">
        <v>69</v>
      </c>
      <c r="AZ18" s="26" t="s">
        <v>69</v>
      </c>
      <c r="BA18" s="10" t="s">
        <v>55</v>
      </c>
      <c r="BC18" s="24">
        <f>AW18+AX18</f>
        <v>0</v>
      </c>
      <c r="BD18" s="24">
        <f>G18/(100-BE18)*100</f>
        <v>0</v>
      </c>
      <c r="BE18" s="24">
        <v>0</v>
      </c>
      <c r="BF18" s="24">
        <f>18</f>
        <v>18</v>
      </c>
      <c r="BH18" s="24">
        <f>F18*AO18</f>
        <v>0</v>
      </c>
      <c r="BI18" s="24">
        <f>F18*AP18</f>
        <v>0</v>
      </c>
      <c r="BJ18" s="24">
        <f>F18*G18</f>
        <v>0</v>
      </c>
      <c r="BK18" s="26" t="s">
        <v>56</v>
      </c>
      <c r="BL18" s="24">
        <v>711</v>
      </c>
      <c r="BW18" s="24">
        <v>12</v>
      </c>
      <c r="BX18" s="4" t="s">
        <v>72</v>
      </c>
    </row>
    <row r="19" spans="1:76" x14ac:dyDescent="0.25">
      <c r="A19" s="2" t="s">
        <v>73</v>
      </c>
      <c r="B19" s="3" t="s">
        <v>74</v>
      </c>
      <c r="C19" s="67" t="s">
        <v>75</v>
      </c>
      <c r="D19" s="64"/>
      <c r="E19" s="3" t="s">
        <v>53</v>
      </c>
      <c r="F19" s="24">
        <v>48.86</v>
      </c>
      <c r="G19" s="24">
        <v>0</v>
      </c>
      <c r="H19" s="24">
        <f>ROUND(F19*AO19,2)</f>
        <v>0</v>
      </c>
      <c r="I19" s="24">
        <f>ROUND(F19*AP19,2)</f>
        <v>0</v>
      </c>
      <c r="J19" s="24">
        <f>F19*G19</f>
        <v>0</v>
      </c>
      <c r="K19" s="25"/>
      <c r="Z19" s="24">
        <f>ROUND(IF(AQ19="5",BJ19,0),2)</f>
        <v>0</v>
      </c>
      <c r="AB19" s="24">
        <f>ROUND(IF(AQ19="1",BH19,0),2)</f>
        <v>0</v>
      </c>
      <c r="AC19" s="24">
        <f>ROUND(IF(AQ19="1",BI19,0),2)</f>
        <v>0</v>
      </c>
      <c r="AD19" s="24">
        <f>ROUND(IF(AQ19="7",BH19,0),2)</f>
        <v>0</v>
      </c>
      <c r="AE19" s="24">
        <f>ROUND(IF(AQ19="7",BI19,0),2)</f>
        <v>0</v>
      </c>
      <c r="AF19" s="24">
        <f>ROUND(IF(AQ19="2",BH19,0),2)</f>
        <v>0</v>
      </c>
      <c r="AG19" s="24">
        <f>ROUND(IF(AQ19="2",BI19,0),2)</f>
        <v>0</v>
      </c>
      <c r="AH19" s="24">
        <f>ROUND(IF(AQ19="0",BJ19,0),2)</f>
        <v>0</v>
      </c>
      <c r="AI19" s="10" t="s">
        <v>47</v>
      </c>
      <c r="AJ19" s="24">
        <f>IF(AN19=0,J19,0)</f>
        <v>0</v>
      </c>
      <c r="AK19" s="24">
        <f>IF(AN19=12,J19,0)</f>
        <v>0</v>
      </c>
      <c r="AL19" s="24">
        <f>IF(AN19=21,J19,0)</f>
        <v>0</v>
      </c>
      <c r="AN19" s="24">
        <v>12</v>
      </c>
      <c r="AO19" s="24">
        <f>G19*0.578502332</f>
        <v>0</v>
      </c>
      <c r="AP19" s="24">
        <f>G19*(1-0.578502332)</f>
        <v>0</v>
      </c>
      <c r="AQ19" s="26" t="s">
        <v>68</v>
      </c>
      <c r="AV19" s="24">
        <f>ROUND(AW19+AX19,2)</f>
        <v>0</v>
      </c>
      <c r="AW19" s="24">
        <f>ROUND(F19*AO19,2)</f>
        <v>0</v>
      </c>
      <c r="AX19" s="24">
        <f>ROUND(F19*AP19,2)</f>
        <v>0</v>
      </c>
      <c r="AY19" s="26" t="s">
        <v>69</v>
      </c>
      <c r="AZ19" s="26" t="s">
        <v>69</v>
      </c>
      <c r="BA19" s="10" t="s">
        <v>55</v>
      </c>
      <c r="BC19" s="24">
        <f>AW19+AX19</f>
        <v>0</v>
      </c>
      <c r="BD19" s="24">
        <f>G19/(100-BE19)*100</f>
        <v>0</v>
      </c>
      <c r="BE19" s="24">
        <v>0</v>
      </c>
      <c r="BF19" s="24">
        <f>19</f>
        <v>19</v>
      </c>
      <c r="BH19" s="24">
        <f>F19*AO19</f>
        <v>0</v>
      </c>
      <c r="BI19" s="24">
        <f>F19*AP19</f>
        <v>0</v>
      </c>
      <c r="BJ19" s="24">
        <f>F19*G19</f>
        <v>0</v>
      </c>
      <c r="BK19" s="26" t="s">
        <v>56</v>
      </c>
      <c r="BL19" s="24">
        <v>711</v>
      </c>
      <c r="BW19" s="24">
        <v>12</v>
      </c>
      <c r="BX19" s="4" t="s">
        <v>75</v>
      </c>
    </row>
    <row r="20" spans="1:76" x14ac:dyDescent="0.25">
      <c r="A20" s="2" t="s">
        <v>76</v>
      </c>
      <c r="B20" s="3" t="s">
        <v>77</v>
      </c>
      <c r="C20" s="67" t="s">
        <v>78</v>
      </c>
      <c r="D20" s="64"/>
      <c r="E20" s="3" t="s">
        <v>79</v>
      </c>
      <c r="F20" s="24">
        <v>225.98</v>
      </c>
      <c r="G20" s="24">
        <v>0</v>
      </c>
      <c r="H20" s="24">
        <f>ROUND(F20*AO20,2)</f>
        <v>0</v>
      </c>
      <c r="I20" s="24">
        <f>ROUND(F20*AP20,2)</f>
        <v>0</v>
      </c>
      <c r="J20" s="24">
        <f>F20*G20</f>
        <v>0</v>
      </c>
      <c r="K20" s="25"/>
      <c r="Z20" s="24">
        <f>ROUND(IF(AQ20="5",BJ20,0),2)</f>
        <v>0</v>
      </c>
      <c r="AB20" s="24">
        <f>ROUND(IF(AQ20="1",BH20,0),2)</f>
        <v>0</v>
      </c>
      <c r="AC20" s="24">
        <f>ROUND(IF(AQ20="1",BI20,0),2)</f>
        <v>0</v>
      </c>
      <c r="AD20" s="24">
        <f>ROUND(IF(AQ20="7",BH20,0),2)</f>
        <v>0</v>
      </c>
      <c r="AE20" s="24">
        <f>ROUND(IF(AQ20="7",BI20,0),2)</f>
        <v>0</v>
      </c>
      <c r="AF20" s="24">
        <f>ROUND(IF(AQ20="2",BH20,0),2)</f>
        <v>0</v>
      </c>
      <c r="AG20" s="24">
        <f>ROUND(IF(AQ20="2",BI20,0),2)</f>
        <v>0</v>
      </c>
      <c r="AH20" s="24">
        <f>ROUND(IF(AQ20="0",BJ20,0),2)</f>
        <v>0</v>
      </c>
      <c r="AI20" s="10" t="s">
        <v>47</v>
      </c>
      <c r="AJ20" s="24">
        <f>IF(AN20=0,J20,0)</f>
        <v>0</v>
      </c>
      <c r="AK20" s="24">
        <f>IF(AN20=12,J20,0)</f>
        <v>0</v>
      </c>
      <c r="AL20" s="24">
        <f>IF(AN20=21,J20,0)</f>
        <v>0</v>
      </c>
      <c r="AN20" s="24">
        <v>12</v>
      </c>
      <c r="AO20" s="24">
        <f>G20*0</f>
        <v>0</v>
      </c>
      <c r="AP20" s="24">
        <f>G20*(1-0)</f>
        <v>0</v>
      </c>
      <c r="AQ20" s="26" t="s">
        <v>73</v>
      </c>
      <c r="AV20" s="24">
        <f>ROUND(AW20+AX20,2)</f>
        <v>0</v>
      </c>
      <c r="AW20" s="24">
        <f>ROUND(F20*AO20,2)</f>
        <v>0</v>
      </c>
      <c r="AX20" s="24">
        <f>ROUND(F20*AP20,2)</f>
        <v>0</v>
      </c>
      <c r="AY20" s="26" t="s">
        <v>69</v>
      </c>
      <c r="AZ20" s="26" t="s">
        <v>69</v>
      </c>
      <c r="BA20" s="10" t="s">
        <v>55</v>
      </c>
      <c r="BC20" s="24">
        <f>AW20+AX20</f>
        <v>0</v>
      </c>
      <c r="BD20" s="24">
        <f>G20/(100-BE20)*100</f>
        <v>0</v>
      </c>
      <c r="BE20" s="24">
        <v>0</v>
      </c>
      <c r="BF20" s="24">
        <f>20</f>
        <v>20</v>
      </c>
      <c r="BH20" s="24">
        <f>F20*AO20</f>
        <v>0</v>
      </c>
      <c r="BI20" s="24">
        <f>F20*AP20</f>
        <v>0</v>
      </c>
      <c r="BJ20" s="24">
        <f>F20*G20</f>
        <v>0</v>
      </c>
      <c r="BK20" s="26" t="s">
        <v>56</v>
      </c>
      <c r="BL20" s="24">
        <v>711</v>
      </c>
      <c r="BW20" s="24">
        <v>12</v>
      </c>
      <c r="BX20" s="4" t="s">
        <v>78</v>
      </c>
    </row>
    <row r="21" spans="1:76" x14ac:dyDescent="0.25">
      <c r="A21" s="27" t="s">
        <v>47</v>
      </c>
      <c r="B21" s="28" t="s">
        <v>80</v>
      </c>
      <c r="C21" s="123" t="s">
        <v>81</v>
      </c>
      <c r="D21" s="124"/>
      <c r="E21" s="29" t="s">
        <v>4</v>
      </c>
      <c r="F21" s="29" t="s">
        <v>4</v>
      </c>
      <c r="G21" s="29" t="s">
        <v>4</v>
      </c>
      <c r="H21" s="1">
        <f>ROUND(SUM(H22:H22),0)</f>
        <v>0</v>
      </c>
      <c r="I21" s="1">
        <f>ROUND(SUM(I22:I22),0)</f>
        <v>0</v>
      </c>
      <c r="J21" s="1">
        <f>ROUND(SUM(J22:J22),0)</f>
        <v>0</v>
      </c>
      <c r="K21" s="30"/>
      <c r="AI21" s="10" t="s">
        <v>47</v>
      </c>
      <c r="AS21" s="1">
        <f>SUM(AJ22:AJ22)</f>
        <v>0</v>
      </c>
      <c r="AT21" s="1">
        <f>SUM(AK22:AK22)</f>
        <v>0</v>
      </c>
      <c r="AU21" s="1">
        <f>SUM(AL22:AL22)</f>
        <v>0</v>
      </c>
    </row>
    <row r="22" spans="1:76" x14ac:dyDescent="0.25">
      <c r="A22" s="2" t="s">
        <v>68</v>
      </c>
      <c r="B22" s="3" t="s">
        <v>82</v>
      </c>
      <c r="C22" s="67" t="s">
        <v>83</v>
      </c>
      <c r="D22" s="64"/>
      <c r="E22" s="3" t="s">
        <v>84</v>
      </c>
      <c r="F22" s="24">
        <v>9</v>
      </c>
      <c r="G22" s="24">
        <v>0</v>
      </c>
      <c r="H22" s="24">
        <f>ROUND(F22*AO22,2)</f>
        <v>0</v>
      </c>
      <c r="I22" s="24">
        <f>ROUND(F22*AP22,2)</f>
        <v>0</v>
      </c>
      <c r="J22" s="24">
        <f>F22*G22</f>
        <v>0</v>
      </c>
      <c r="K22" s="25"/>
      <c r="Z22" s="24">
        <f>ROUND(IF(AQ22="5",BJ22,0),2)</f>
        <v>0</v>
      </c>
      <c r="AB22" s="24">
        <f>ROUND(IF(AQ22="1",BH22,0),2)</f>
        <v>0</v>
      </c>
      <c r="AC22" s="24">
        <f>ROUND(IF(AQ22="1",BI22,0),2)</f>
        <v>0</v>
      </c>
      <c r="AD22" s="24">
        <f>ROUND(IF(AQ22="7",BH22,0),2)</f>
        <v>0</v>
      </c>
      <c r="AE22" s="24">
        <f>ROUND(IF(AQ22="7",BI22,0),2)</f>
        <v>0</v>
      </c>
      <c r="AF22" s="24">
        <f>ROUND(IF(AQ22="2",BH22,0),2)</f>
        <v>0</v>
      </c>
      <c r="AG22" s="24">
        <f>ROUND(IF(AQ22="2",BI22,0),2)</f>
        <v>0</v>
      </c>
      <c r="AH22" s="24">
        <f>ROUND(IF(AQ22="0",BJ22,0),2)</f>
        <v>0</v>
      </c>
      <c r="AI22" s="10" t="s">
        <v>47</v>
      </c>
      <c r="AJ22" s="24">
        <f>IF(AN22=0,J22,0)</f>
        <v>0</v>
      </c>
      <c r="AK22" s="24">
        <f>IF(AN22=12,J22,0)</f>
        <v>0</v>
      </c>
      <c r="AL22" s="24">
        <f>IF(AN22=21,J22,0)</f>
        <v>0</v>
      </c>
      <c r="AN22" s="24">
        <v>12</v>
      </c>
      <c r="AO22" s="24">
        <f>G22*0</f>
        <v>0</v>
      </c>
      <c r="AP22" s="24">
        <f>G22*(1-0)</f>
        <v>0</v>
      </c>
      <c r="AQ22" s="26" t="s">
        <v>68</v>
      </c>
      <c r="AV22" s="24">
        <f>ROUND(AW22+AX22,2)</f>
        <v>0</v>
      </c>
      <c r="AW22" s="24">
        <f>ROUND(F22*AO22,2)</f>
        <v>0</v>
      </c>
      <c r="AX22" s="24">
        <f>ROUND(F22*AP22,2)</f>
        <v>0</v>
      </c>
      <c r="AY22" s="26" t="s">
        <v>85</v>
      </c>
      <c r="AZ22" s="26" t="s">
        <v>85</v>
      </c>
      <c r="BA22" s="10" t="s">
        <v>55</v>
      </c>
      <c r="BC22" s="24">
        <f>AW22+AX22</f>
        <v>0</v>
      </c>
      <c r="BD22" s="24">
        <f>G22/(100-BE22)*100</f>
        <v>0</v>
      </c>
      <c r="BE22" s="24">
        <v>0</v>
      </c>
      <c r="BF22" s="24">
        <f>22</f>
        <v>22</v>
      </c>
      <c r="BH22" s="24">
        <f>F22*AO22</f>
        <v>0</v>
      </c>
      <c r="BI22" s="24">
        <f>F22*AP22</f>
        <v>0</v>
      </c>
      <c r="BJ22" s="24">
        <f>F22*G22</f>
        <v>0</v>
      </c>
      <c r="BK22" s="26" t="s">
        <v>56</v>
      </c>
      <c r="BL22" s="24">
        <v>766</v>
      </c>
      <c r="BW22" s="24">
        <v>12</v>
      </c>
      <c r="BX22" s="4" t="s">
        <v>83</v>
      </c>
    </row>
    <row r="23" spans="1:76" x14ac:dyDescent="0.25">
      <c r="A23" s="27" t="s">
        <v>47</v>
      </c>
      <c r="B23" s="28" t="s">
        <v>86</v>
      </c>
      <c r="C23" s="123" t="s">
        <v>87</v>
      </c>
      <c r="D23" s="124"/>
      <c r="E23" s="29" t="s">
        <v>4</v>
      </c>
      <c r="F23" s="29" t="s">
        <v>4</v>
      </c>
      <c r="G23" s="29" t="s">
        <v>4</v>
      </c>
      <c r="H23" s="1">
        <f>ROUND(SUM(H24:H32),0)</f>
        <v>0</v>
      </c>
      <c r="I23" s="1">
        <f>ROUND(SUM(I24:I32),0)</f>
        <v>0</v>
      </c>
      <c r="J23" s="1">
        <f>ROUND(SUM(J24:J32),0)</f>
        <v>0</v>
      </c>
      <c r="K23" s="30"/>
      <c r="AI23" s="10" t="s">
        <v>47</v>
      </c>
      <c r="AS23" s="1">
        <f>SUM(AJ24:AJ32)</f>
        <v>0</v>
      </c>
      <c r="AT23" s="1">
        <f>SUM(AK24:AK32)</f>
        <v>0</v>
      </c>
      <c r="AU23" s="1">
        <f>SUM(AL24:AL32)</f>
        <v>0</v>
      </c>
    </row>
    <row r="24" spans="1:76" x14ac:dyDescent="0.25">
      <c r="A24" s="2" t="s">
        <v>88</v>
      </c>
      <c r="B24" s="3" t="s">
        <v>89</v>
      </c>
      <c r="C24" s="67" t="s">
        <v>90</v>
      </c>
      <c r="D24" s="64"/>
      <c r="E24" s="3" t="s">
        <v>91</v>
      </c>
      <c r="F24" s="24">
        <v>51.6</v>
      </c>
      <c r="G24" s="24">
        <v>0</v>
      </c>
      <c r="H24" s="24">
        <f t="shared" ref="H24:H32" si="0">ROUND(F24*AO24,2)</f>
        <v>0</v>
      </c>
      <c r="I24" s="24">
        <f t="shared" ref="I24:I32" si="1">ROUND(F24*AP24,2)</f>
        <v>0</v>
      </c>
      <c r="J24" s="24">
        <f t="shared" ref="J24:J32" si="2">F24*G24</f>
        <v>0</v>
      </c>
      <c r="K24" s="25"/>
      <c r="Z24" s="24">
        <f t="shared" ref="Z24:Z32" si="3">ROUND(IF(AQ24="5",BJ24,0),2)</f>
        <v>0</v>
      </c>
      <c r="AB24" s="24">
        <f t="shared" ref="AB24:AB32" si="4">ROUND(IF(AQ24="1",BH24,0),2)</f>
        <v>0</v>
      </c>
      <c r="AC24" s="24">
        <f t="shared" ref="AC24:AC32" si="5">ROUND(IF(AQ24="1",BI24,0),2)</f>
        <v>0</v>
      </c>
      <c r="AD24" s="24">
        <f t="shared" ref="AD24:AD32" si="6">ROUND(IF(AQ24="7",BH24,0),2)</f>
        <v>0</v>
      </c>
      <c r="AE24" s="24">
        <f t="shared" ref="AE24:AE32" si="7">ROUND(IF(AQ24="7",BI24,0),2)</f>
        <v>0</v>
      </c>
      <c r="AF24" s="24">
        <f t="shared" ref="AF24:AF32" si="8">ROUND(IF(AQ24="2",BH24,0),2)</f>
        <v>0</v>
      </c>
      <c r="AG24" s="24">
        <f t="shared" ref="AG24:AG32" si="9">ROUND(IF(AQ24="2",BI24,0),2)</f>
        <v>0</v>
      </c>
      <c r="AH24" s="24">
        <f t="shared" ref="AH24:AH32" si="10">ROUND(IF(AQ24="0",BJ24,0),2)</f>
        <v>0</v>
      </c>
      <c r="AI24" s="10" t="s">
        <v>47</v>
      </c>
      <c r="AJ24" s="24">
        <f t="shared" ref="AJ24:AJ32" si="11">IF(AN24=0,J24,0)</f>
        <v>0</v>
      </c>
      <c r="AK24" s="24">
        <f t="shared" ref="AK24:AK32" si="12">IF(AN24=12,J24,0)</f>
        <v>0</v>
      </c>
      <c r="AL24" s="24">
        <f t="shared" ref="AL24:AL32" si="13">IF(AN24=21,J24,0)</f>
        <v>0</v>
      </c>
      <c r="AN24" s="24">
        <v>12</v>
      </c>
      <c r="AO24" s="24">
        <f>G24*0</f>
        <v>0</v>
      </c>
      <c r="AP24" s="24">
        <f>G24*(1-0)</f>
        <v>0</v>
      </c>
      <c r="AQ24" s="26" t="s">
        <v>68</v>
      </c>
      <c r="AV24" s="24">
        <f t="shared" ref="AV24:AV32" si="14">ROUND(AW24+AX24,2)</f>
        <v>0</v>
      </c>
      <c r="AW24" s="24">
        <f t="shared" ref="AW24:AW32" si="15">ROUND(F24*AO24,2)</f>
        <v>0</v>
      </c>
      <c r="AX24" s="24">
        <f t="shared" ref="AX24:AX32" si="16">ROUND(F24*AP24,2)</f>
        <v>0</v>
      </c>
      <c r="AY24" s="26" t="s">
        <v>92</v>
      </c>
      <c r="AZ24" s="26" t="s">
        <v>92</v>
      </c>
      <c r="BA24" s="10" t="s">
        <v>55</v>
      </c>
      <c r="BC24" s="24">
        <f t="shared" ref="BC24:BC32" si="17">AW24+AX24</f>
        <v>0</v>
      </c>
      <c r="BD24" s="24">
        <f t="shared" ref="BD24:BD32" si="18">G24/(100-BE24)*100</f>
        <v>0</v>
      </c>
      <c r="BE24" s="24">
        <v>0</v>
      </c>
      <c r="BF24" s="24">
        <f>24</f>
        <v>24</v>
      </c>
      <c r="BH24" s="24">
        <f t="shared" ref="BH24:BH32" si="19">F24*AO24</f>
        <v>0</v>
      </c>
      <c r="BI24" s="24">
        <f t="shared" ref="BI24:BI32" si="20">F24*AP24</f>
        <v>0</v>
      </c>
      <c r="BJ24" s="24">
        <f t="shared" ref="BJ24:BJ32" si="21">F24*G24</f>
        <v>0</v>
      </c>
      <c r="BK24" s="26" t="s">
        <v>56</v>
      </c>
      <c r="BL24" s="24">
        <v>776</v>
      </c>
      <c r="BW24" s="24">
        <v>12</v>
      </c>
      <c r="BX24" s="4" t="s">
        <v>90</v>
      </c>
    </row>
    <row r="25" spans="1:76" x14ac:dyDescent="0.25">
      <c r="A25" s="2" t="s">
        <v>93</v>
      </c>
      <c r="B25" s="3" t="s">
        <v>94</v>
      </c>
      <c r="C25" s="67" t="s">
        <v>95</v>
      </c>
      <c r="D25" s="64"/>
      <c r="E25" s="3" t="s">
        <v>53</v>
      </c>
      <c r="F25" s="24">
        <v>48.86</v>
      </c>
      <c r="G25" s="24">
        <v>0</v>
      </c>
      <c r="H25" s="24">
        <f t="shared" si="0"/>
        <v>0</v>
      </c>
      <c r="I25" s="24">
        <f t="shared" si="1"/>
        <v>0</v>
      </c>
      <c r="J25" s="24">
        <f t="shared" si="2"/>
        <v>0</v>
      </c>
      <c r="K25" s="25"/>
      <c r="Z25" s="24">
        <f t="shared" si="3"/>
        <v>0</v>
      </c>
      <c r="AB25" s="24">
        <f t="shared" si="4"/>
        <v>0</v>
      </c>
      <c r="AC25" s="24">
        <f t="shared" si="5"/>
        <v>0</v>
      </c>
      <c r="AD25" s="24">
        <f t="shared" si="6"/>
        <v>0</v>
      </c>
      <c r="AE25" s="24">
        <f t="shared" si="7"/>
        <v>0</v>
      </c>
      <c r="AF25" s="24">
        <f t="shared" si="8"/>
        <v>0</v>
      </c>
      <c r="AG25" s="24">
        <f t="shared" si="9"/>
        <v>0</v>
      </c>
      <c r="AH25" s="24">
        <f t="shared" si="10"/>
        <v>0</v>
      </c>
      <c r="AI25" s="10" t="s">
        <v>47</v>
      </c>
      <c r="AJ25" s="24">
        <f t="shared" si="11"/>
        <v>0</v>
      </c>
      <c r="AK25" s="24">
        <f t="shared" si="12"/>
        <v>0</v>
      </c>
      <c r="AL25" s="24">
        <f t="shared" si="13"/>
        <v>0</v>
      </c>
      <c r="AN25" s="24">
        <v>12</v>
      </c>
      <c r="AO25" s="24">
        <f>G25*0</f>
        <v>0</v>
      </c>
      <c r="AP25" s="24">
        <f>G25*(1-0)</f>
        <v>0</v>
      </c>
      <c r="AQ25" s="26" t="s">
        <v>68</v>
      </c>
      <c r="AV25" s="24">
        <f t="shared" si="14"/>
        <v>0</v>
      </c>
      <c r="AW25" s="24">
        <f t="shared" si="15"/>
        <v>0</v>
      </c>
      <c r="AX25" s="24">
        <f t="shared" si="16"/>
        <v>0</v>
      </c>
      <c r="AY25" s="26" t="s">
        <v>92</v>
      </c>
      <c r="AZ25" s="26" t="s">
        <v>92</v>
      </c>
      <c r="BA25" s="10" t="s">
        <v>55</v>
      </c>
      <c r="BC25" s="24">
        <f t="shared" si="17"/>
        <v>0</v>
      </c>
      <c r="BD25" s="24">
        <f t="shared" si="18"/>
        <v>0</v>
      </c>
      <c r="BE25" s="24">
        <v>0</v>
      </c>
      <c r="BF25" s="24">
        <f>25</f>
        <v>25</v>
      </c>
      <c r="BH25" s="24">
        <f t="shared" si="19"/>
        <v>0</v>
      </c>
      <c r="BI25" s="24">
        <f t="shared" si="20"/>
        <v>0</v>
      </c>
      <c r="BJ25" s="24">
        <f t="shared" si="21"/>
        <v>0</v>
      </c>
      <c r="BK25" s="26" t="s">
        <v>56</v>
      </c>
      <c r="BL25" s="24">
        <v>776</v>
      </c>
      <c r="BW25" s="24">
        <v>12</v>
      </c>
      <c r="BX25" s="4" t="s">
        <v>95</v>
      </c>
    </row>
    <row r="26" spans="1:76" x14ac:dyDescent="0.25">
      <c r="A26" s="2" t="s">
        <v>96</v>
      </c>
      <c r="B26" s="3" t="s">
        <v>97</v>
      </c>
      <c r="C26" s="67" t="s">
        <v>98</v>
      </c>
      <c r="D26" s="64"/>
      <c r="E26" s="3" t="s">
        <v>53</v>
      </c>
      <c r="F26" s="24">
        <v>48.86</v>
      </c>
      <c r="G26" s="24">
        <v>0</v>
      </c>
      <c r="H26" s="24">
        <f t="shared" si="0"/>
        <v>0</v>
      </c>
      <c r="I26" s="24">
        <f t="shared" si="1"/>
        <v>0</v>
      </c>
      <c r="J26" s="24">
        <f t="shared" si="2"/>
        <v>0</v>
      </c>
      <c r="K26" s="25"/>
      <c r="Z26" s="24">
        <f t="shared" si="3"/>
        <v>0</v>
      </c>
      <c r="AB26" s="24">
        <f t="shared" si="4"/>
        <v>0</v>
      </c>
      <c r="AC26" s="24">
        <f t="shared" si="5"/>
        <v>0</v>
      </c>
      <c r="AD26" s="24">
        <f t="shared" si="6"/>
        <v>0</v>
      </c>
      <c r="AE26" s="24">
        <f t="shared" si="7"/>
        <v>0</v>
      </c>
      <c r="AF26" s="24">
        <f t="shared" si="8"/>
        <v>0</v>
      </c>
      <c r="AG26" s="24">
        <f t="shared" si="9"/>
        <v>0</v>
      </c>
      <c r="AH26" s="24">
        <f t="shared" si="10"/>
        <v>0</v>
      </c>
      <c r="AI26" s="10" t="s">
        <v>47</v>
      </c>
      <c r="AJ26" s="24">
        <f t="shared" si="11"/>
        <v>0</v>
      </c>
      <c r="AK26" s="24">
        <f t="shared" si="12"/>
        <v>0</v>
      </c>
      <c r="AL26" s="24">
        <f t="shared" si="13"/>
        <v>0</v>
      </c>
      <c r="AN26" s="24">
        <v>12</v>
      </c>
      <c r="AO26" s="24">
        <f>G26*0.326557064</f>
        <v>0</v>
      </c>
      <c r="AP26" s="24">
        <f>G26*(1-0.326557064)</f>
        <v>0</v>
      </c>
      <c r="AQ26" s="26" t="s">
        <v>68</v>
      </c>
      <c r="AV26" s="24">
        <f t="shared" si="14"/>
        <v>0</v>
      </c>
      <c r="AW26" s="24">
        <f t="shared" si="15"/>
        <v>0</v>
      </c>
      <c r="AX26" s="24">
        <f t="shared" si="16"/>
        <v>0</v>
      </c>
      <c r="AY26" s="26" t="s">
        <v>92</v>
      </c>
      <c r="AZ26" s="26" t="s">
        <v>92</v>
      </c>
      <c r="BA26" s="10" t="s">
        <v>55</v>
      </c>
      <c r="BC26" s="24">
        <f t="shared" si="17"/>
        <v>0</v>
      </c>
      <c r="BD26" s="24">
        <f t="shared" si="18"/>
        <v>0</v>
      </c>
      <c r="BE26" s="24">
        <v>0</v>
      </c>
      <c r="BF26" s="24">
        <f>26</f>
        <v>26</v>
      </c>
      <c r="BH26" s="24">
        <f t="shared" si="19"/>
        <v>0</v>
      </c>
      <c r="BI26" s="24">
        <f t="shared" si="20"/>
        <v>0</v>
      </c>
      <c r="BJ26" s="24">
        <f t="shared" si="21"/>
        <v>0</v>
      </c>
      <c r="BK26" s="26" t="s">
        <v>56</v>
      </c>
      <c r="BL26" s="24">
        <v>776</v>
      </c>
      <c r="BW26" s="24">
        <v>12</v>
      </c>
      <c r="BX26" s="4" t="s">
        <v>98</v>
      </c>
    </row>
    <row r="27" spans="1:76" x14ac:dyDescent="0.25">
      <c r="A27" s="2" t="s">
        <v>99</v>
      </c>
      <c r="B27" s="3" t="s">
        <v>100</v>
      </c>
      <c r="C27" s="67" t="s">
        <v>101</v>
      </c>
      <c r="D27" s="64"/>
      <c r="E27" s="3" t="s">
        <v>53</v>
      </c>
      <c r="F27" s="24">
        <v>48.86</v>
      </c>
      <c r="G27" s="24">
        <v>0</v>
      </c>
      <c r="H27" s="24">
        <f t="shared" si="0"/>
        <v>0</v>
      </c>
      <c r="I27" s="24">
        <f t="shared" si="1"/>
        <v>0</v>
      </c>
      <c r="J27" s="24">
        <f t="shared" si="2"/>
        <v>0</v>
      </c>
      <c r="K27" s="25"/>
      <c r="Z27" s="24">
        <f t="shared" si="3"/>
        <v>0</v>
      </c>
      <c r="AB27" s="24">
        <f t="shared" si="4"/>
        <v>0</v>
      </c>
      <c r="AC27" s="24">
        <f t="shared" si="5"/>
        <v>0</v>
      </c>
      <c r="AD27" s="24">
        <f t="shared" si="6"/>
        <v>0</v>
      </c>
      <c r="AE27" s="24">
        <f t="shared" si="7"/>
        <v>0</v>
      </c>
      <c r="AF27" s="24">
        <f t="shared" si="8"/>
        <v>0</v>
      </c>
      <c r="AG27" s="24">
        <f t="shared" si="9"/>
        <v>0</v>
      </c>
      <c r="AH27" s="24">
        <f t="shared" si="10"/>
        <v>0</v>
      </c>
      <c r="AI27" s="10" t="s">
        <v>47</v>
      </c>
      <c r="AJ27" s="24">
        <f t="shared" si="11"/>
        <v>0</v>
      </c>
      <c r="AK27" s="24">
        <f t="shared" si="12"/>
        <v>0</v>
      </c>
      <c r="AL27" s="24">
        <f t="shared" si="13"/>
        <v>0</v>
      </c>
      <c r="AN27" s="24">
        <v>12</v>
      </c>
      <c r="AO27" s="24">
        <f>G27*0</f>
        <v>0</v>
      </c>
      <c r="AP27" s="24">
        <f>G27*(1-0)</f>
        <v>0</v>
      </c>
      <c r="AQ27" s="26" t="s">
        <v>68</v>
      </c>
      <c r="AV27" s="24">
        <f t="shared" si="14"/>
        <v>0</v>
      </c>
      <c r="AW27" s="24">
        <f t="shared" si="15"/>
        <v>0</v>
      </c>
      <c r="AX27" s="24">
        <f t="shared" si="16"/>
        <v>0</v>
      </c>
      <c r="AY27" s="26" t="s">
        <v>92</v>
      </c>
      <c r="AZ27" s="26" t="s">
        <v>92</v>
      </c>
      <c r="BA27" s="10" t="s">
        <v>55</v>
      </c>
      <c r="BC27" s="24">
        <f t="shared" si="17"/>
        <v>0</v>
      </c>
      <c r="BD27" s="24">
        <f t="shared" si="18"/>
        <v>0</v>
      </c>
      <c r="BE27" s="24">
        <v>0</v>
      </c>
      <c r="BF27" s="24">
        <f>27</f>
        <v>27</v>
      </c>
      <c r="BH27" s="24">
        <f t="shared" si="19"/>
        <v>0</v>
      </c>
      <c r="BI27" s="24">
        <f t="shared" si="20"/>
        <v>0</v>
      </c>
      <c r="BJ27" s="24">
        <f t="shared" si="21"/>
        <v>0</v>
      </c>
      <c r="BK27" s="26" t="s">
        <v>56</v>
      </c>
      <c r="BL27" s="24">
        <v>776</v>
      </c>
      <c r="BW27" s="24">
        <v>12</v>
      </c>
      <c r="BX27" s="4" t="s">
        <v>101</v>
      </c>
    </row>
    <row r="28" spans="1:76" x14ac:dyDescent="0.25">
      <c r="A28" s="2" t="s">
        <v>102</v>
      </c>
      <c r="B28" s="3" t="s">
        <v>103</v>
      </c>
      <c r="C28" s="67" t="s">
        <v>104</v>
      </c>
      <c r="D28" s="64"/>
      <c r="E28" s="3" t="s">
        <v>91</v>
      </c>
      <c r="F28" s="24">
        <v>51.6</v>
      </c>
      <c r="G28" s="24">
        <v>0</v>
      </c>
      <c r="H28" s="24">
        <f t="shared" si="0"/>
        <v>0</v>
      </c>
      <c r="I28" s="24">
        <f t="shared" si="1"/>
        <v>0</v>
      </c>
      <c r="J28" s="24">
        <f t="shared" si="2"/>
        <v>0</v>
      </c>
      <c r="K28" s="25"/>
      <c r="Z28" s="24">
        <f t="shared" si="3"/>
        <v>0</v>
      </c>
      <c r="AB28" s="24">
        <f t="shared" si="4"/>
        <v>0</v>
      </c>
      <c r="AC28" s="24">
        <f t="shared" si="5"/>
        <v>0</v>
      </c>
      <c r="AD28" s="24">
        <f t="shared" si="6"/>
        <v>0</v>
      </c>
      <c r="AE28" s="24">
        <f t="shared" si="7"/>
        <v>0</v>
      </c>
      <c r="AF28" s="24">
        <f t="shared" si="8"/>
        <v>0</v>
      </c>
      <c r="AG28" s="24">
        <f t="shared" si="9"/>
        <v>0</v>
      </c>
      <c r="AH28" s="24">
        <f t="shared" si="10"/>
        <v>0</v>
      </c>
      <c r="AI28" s="10" t="s">
        <v>47</v>
      </c>
      <c r="AJ28" s="24">
        <f t="shared" si="11"/>
        <v>0</v>
      </c>
      <c r="AK28" s="24">
        <f t="shared" si="12"/>
        <v>0</v>
      </c>
      <c r="AL28" s="24">
        <f t="shared" si="13"/>
        <v>0</v>
      </c>
      <c r="AN28" s="24">
        <v>12</v>
      </c>
      <c r="AO28" s="24">
        <f>G28*0.304608167</f>
        <v>0</v>
      </c>
      <c r="AP28" s="24">
        <f>G28*(1-0.304608167)</f>
        <v>0</v>
      </c>
      <c r="AQ28" s="26" t="s">
        <v>68</v>
      </c>
      <c r="AV28" s="24">
        <f t="shared" si="14"/>
        <v>0</v>
      </c>
      <c r="AW28" s="24">
        <f t="shared" si="15"/>
        <v>0</v>
      </c>
      <c r="AX28" s="24">
        <f t="shared" si="16"/>
        <v>0</v>
      </c>
      <c r="AY28" s="26" t="s">
        <v>92</v>
      </c>
      <c r="AZ28" s="26" t="s">
        <v>92</v>
      </c>
      <c r="BA28" s="10" t="s">
        <v>55</v>
      </c>
      <c r="BC28" s="24">
        <f t="shared" si="17"/>
        <v>0</v>
      </c>
      <c r="BD28" s="24">
        <f t="shared" si="18"/>
        <v>0</v>
      </c>
      <c r="BE28" s="24">
        <v>0</v>
      </c>
      <c r="BF28" s="24">
        <f>28</f>
        <v>28</v>
      </c>
      <c r="BH28" s="24">
        <f t="shared" si="19"/>
        <v>0</v>
      </c>
      <c r="BI28" s="24">
        <f t="shared" si="20"/>
        <v>0</v>
      </c>
      <c r="BJ28" s="24">
        <f t="shared" si="21"/>
        <v>0</v>
      </c>
      <c r="BK28" s="26" t="s">
        <v>56</v>
      </c>
      <c r="BL28" s="24">
        <v>776</v>
      </c>
      <c r="BW28" s="24">
        <v>12</v>
      </c>
      <c r="BX28" s="4" t="s">
        <v>104</v>
      </c>
    </row>
    <row r="29" spans="1:76" x14ac:dyDescent="0.25">
      <c r="A29" s="2" t="s">
        <v>105</v>
      </c>
      <c r="B29" s="3" t="s">
        <v>106</v>
      </c>
      <c r="C29" s="67" t="s">
        <v>107</v>
      </c>
      <c r="D29" s="64"/>
      <c r="E29" s="3" t="s">
        <v>53</v>
      </c>
      <c r="F29" s="24">
        <v>48.86</v>
      </c>
      <c r="G29" s="24">
        <v>0</v>
      </c>
      <c r="H29" s="24">
        <f t="shared" si="0"/>
        <v>0</v>
      </c>
      <c r="I29" s="24">
        <f t="shared" si="1"/>
        <v>0</v>
      </c>
      <c r="J29" s="24">
        <f t="shared" si="2"/>
        <v>0</v>
      </c>
      <c r="K29" s="25"/>
      <c r="Z29" s="24">
        <f t="shared" si="3"/>
        <v>0</v>
      </c>
      <c r="AB29" s="24">
        <f t="shared" si="4"/>
        <v>0</v>
      </c>
      <c r="AC29" s="24">
        <f t="shared" si="5"/>
        <v>0</v>
      </c>
      <c r="AD29" s="24">
        <f t="shared" si="6"/>
        <v>0</v>
      </c>
      <c r="AE29" s="24">
        <f t="shared" si="7"/>
        <v>0</v>
      </c>
      <c r="AF29" s="24">
        <f t="shared" si="8"/>
        <v>0</v>
      </c>
      <c r="AG29" s="24">
        <f t="shared" si="9"/>
        <v>0</v>
      </c>
      <c r="AH29" s="24">
        <f t="shared" si="10"/>
        <v>0</v>
      </c>
      <c r="AI29" s="10" t="s">
        <v>47</v>
      </c>
      <c r="AJ29" s="24">
        <f t="shared" si="11"/>
        <v>0</v>
      </c>
      <c r="AK29" s="24">
        <f t="shared" si="12"/>
        <v>0</v>
      </c>
      <c r="AL29" s="24">
        <f t="shared" si="13"/>
        <v>0</v>
      </c>
      <c r="AN29" s="24">
        <v>12</v>
      </c>
      <c r="AO29" s="24">
        <f>G29*0.170618725</f>
        <v>0</v>
      </c>
      <c r="AP29" s="24">
        <f>G29*(1-0.170618725)</f>
        <v>0</v>
      </c>
      <c r="AQ29" s="26" t="s">
        <v>68</v>
      </c>
      <c r="AV29" s="24">
        <f t="shared" si="14"/>
        <v>0</v>
      </c>
      <c r="AW29" s="24">
        <f t="shared" si="15"/>
        <v>0</v>
      </c>
      <c r="AX29" s="24">
        <f t="shared" si="16"/>
        <v>0</v>
      </c>
      <c r="AY29" s="26" t="s">
        <v>92</v>
      </c>
      <c r="AZ29" s="26" t="s">
        <v>92</v>
      </c>
      <c r="BA29" s="10" t="s">
        <v>55</v>
      </c>
      <c r="BC29" s="24">
        <f t="shared" si="17"/>
        <v>0</v>
      </c>
      <c r="BD29" s="24">
        <f t="shared" si="18"/>
        <v>0</v>
      </c>
      <c r="BE29" s="24">
        <v>0</v>
      </c>
      <c r="BF29" s="24">
        <f>29</f>
        <v>29</v>
      </c>
      <c r="BH29" s="24">
        <f t="shared" si="19"/>
        <v>0</v>
      </c>
      <c r="BI29" s="24">
        <f t="shared" si="20"/>
        <v>0</v>
      </c>
      <c r="BJ29" s="24">
        <f t="shared" si="21"/>
        <v>0</v>
      </c>
      <c r="BK29" s="26" t="s">
        <v>56</v>
      </c>
      <c r="BL29" s="24">
        <v>776</v>
      </c>
      <c r="BW29" s="24">
        <v>12</v>
      </c>
      <c r="BX29" s="4" t="s">
        <v>107</v>
      </c>
    </row>
    <row r="30" spans="1:76" x14ac:dyDescent="0.25">
      <c r="A30" s="2" t="s">
        <v>108</v>
      </c>
      <c r="B30" s="3" t="s">
        <v>109</v>
      </c>
      <c r="C30" s="67" t="s">
        <v>110</v>
      </c>
      <c r="D30" s="64"/>
      <c r="E30" s="3" t="s">
        <v>53</v>
      </c>
      <c r="F30" s="24">
        <v>53.75</v>
      </c>
      <c r="G30" s="24">
        <v>0</v>
      </c>
      <c r="H30" s="24">
        <f t="shared" si="0"/>
        <v>0</v>
      </c>
      <c r="I30" s="24">
        <f t="shared" si="1"/>
        <v>0</v>
      </c>
      <c r="J30" s="24">
        <f t="shared" si="2"/>
        <v>0</v>
      </c>
      <c r="K30" s="25"/>
      <c r="Z30" s="24">
        <f t="shared" si="3"/>
        <v>0</v>
      </c>
      <c r="AB30" s="24">
        <f t="shared" si="4"/>
        <v>0</v>
      </c>
      <c r="AC30" s="24">
        <f t="shared" si="5"/>
        <v>0</v>
      </c>
      <c r="AD30" s="24">
        <f t="shared" si="6"/>
        <v>0</v>
      </c>
      <c r="AE30" s="24">
        <f t="shared" si="7"/>
        <v>0</v>
      </c>
      <c r="AF30" s="24">
        <f t="shared" si="8"/>
        <v>0</v>
      </c>
      <c r="AG30" s="24">
        <f t="shared" si="9"/>
        <v>0</v>
      </c>
      <c r="AH30" s="24">
        <f t="shared" si="10"/>
        <v>0</v>
      </c>
      <c r="AI30" s="10" t="s">
        <v>47</v>
      </c>
      <c r="AJ30" s="24">
        <f t="shared" si="11"/>
        <v>0</v>
      </c>
      <c r="AK30" s="24">
        <f t="shared" si="12"/>
        <v>0</v>
      </c>
      <c r="AL30" s="24">
        <f t="shared" si="13"/>
        <v>0</v>
      </c>
      <c r="AN30" s="24">
        <v>12</v>
      </c>
      <c r="AO30" s="24">
        <f>G30*1</f>
        <v>0</v>
      </c>
      <c r="AP30" s="24">
        <f>G30*(1-1)</f>
        <v>0</v>
      </c>
      <c r="AQ30" s="26" t="s">
        <v>68</v>
      </c>
      <c r="AV30" s="24">
        <f t="shared" si="14"/>
        <v>0</v>
      </c>
      <c r="AW30" s="24">
        <f t="shared" si="15"/>
        <v>0</v>
      </c>
      <c r="AX30" s="24">
        <f t="shared" si="16"/>
        <v>0</v>
      </c>
      <c r="AY30" s="26" t="s">
        <v>92</v>
      </c>
      <c r="AZ30" s="26" t="s">
        <v>92</v>
      </c>
      <c r="BA30" s="10" t="s">
        <v>55</v>
      </c>
      <c r="BC30" s="24">
        <f t="shared" si="17"/>
        <v>0</v>
      </c>
      <c r="BD30" s="24">
        <f t="shared" si="18"/>
        <v>0</v>
      </c>
      <c r="BE30" s="24">
        <v>0</v>
      </c>
      <c r="BF30" s="24">
        <f>30</f>
        <v>30</v>
      </c>
      <c r="BH30" s="24">
        <f t="shared" si="19"/>
        <v>0</v>
      </c>
      <c r="BI30" s="24">
        <f t="shared" si="20"/>
        <v>0</v>
      </c>
      <c r="BJ30" s="24">
        <f t="shared" si="21"/>
        <v>0</v>
      </c>
      <c r="BK30" s="26" t="s">
        <v>111</v>
      </c>
      <c r="BL30" s="24">
        <v>776</v>
      </c>
      <c r="BW30" s="24">
        <v>12</v>
      </c>
      <c r="BX30" s="4" t="s">
        <v>110</v>
      </c>
    </row>
    <row r="31" spans="1:76" x14ac:dyDescent="0.25">
      <c r="A31" s="2" t="s">
        <v>112</v>
      </c>
      <c r="B31" s="3" t="s">
        <v>113</v>
      </c>
      <c r="C31" s="67" t="s">
        <v>114</v>
      </c>
      <c r="D31" s="64"/>
      <c r="E31" s="3" t="s">
        <v>91</v>
      </c>
      <c r="F31" s="24">
        <v>6.8</v>
      </c>
      <c r="G31" s="24">
        <v>0</v>
      </c>
      <c r="H31" s="24">
        <f t="shared" si="0"/>
        <v>0</v>
      </c>
      <c r="I31" s="24">
        <f t="shared" si="1"/>
        <v>0</v>
      </c>
      <c r="J31" s="24">
        <f t="shared" si="2"/>
        <v>0</v>
      </c>
      <c r="K31" s="25"/>
      <c r="Z31" s="24">
        <f t="shared" si="3"/>
        <v>0</v>
      </c>
      <c r="AB31" s="24">
        <f t="shared" si="4"/>
        <v>0</v>
      </c>
      <c r="AC31" s="24">
        <f t="shared" si="5"/>
        <v>0</v>
      </c>
      <c r="AD31" s="24">
        <f t="shared" si="6"/>
        <v>0</v>
      </c>
      <c r="AE31" s="24">
        <f t="shared" si="7"/>
        <v>0</v>
      </c>
      <c r="AF31" s="24">
        <f t="shared" si="8"/>
        <v>0</v>
      </c>
      <c r="AG31" s="24">
        <f t="shared" si="9"/>
        <v>0</v>
      </c>
      <c r="AH31" s="24">
        <f t="shared" si="10"/>
        <v>0</v>
      </c>
      <c r="AI31" s="10" t="s">
        <v>47</v>
      </c>
      <c r="AJ31" s="24">
        <f t="shared" si="11"/>
        <v>0</v>
      </c>
      <c r="AK31" s="24">
        <f t="shared" si="12"/>
        <v>0</v>
      </c>
      <c r="AL31" s="24">
        <f t="shared" si="13"/>
        <v>0</v>
      </c>
      <c r="AN31" s="24">
        <v>12</v>
      </c>
      <c r="AO31" s="24">
        <f>G31*0.537054886</f>
        <v>0</v>
      </c>
      <c r="AP31" s="24">
        <f>G31*(1-0.537054886)</f>
        <v>0</v>
      </c>
      <c r="AQ31" s="26" t="s">
        <v>68</v>
      </c>
      <c r="AV31" s="24">
        <f t="shared" si="14"/>
        <v>0</v>
      </c>
      <c r="AW31" s="24">
        <f t="shared" si="15"/>
        <v>0</v>
      </c>
      <c r="AX31" s="24">
        <f t="shared" si="16"/>
        <v>0</v>
      </c>
      <c r="AY31" s="26" t="s">
        <v>92</v>
      </c>
      <c r="AZ31" s="26" t="s">
        <v>92</v>
      </c>
      <c r="BA31" s="10" t="s">
        <v>55</v>
      </c>
      <c r="BC31" s="24">
        <f t="shared" si="17"/>
        <v>0</v>
      </c>
      <c r="BD31" s="24">
        <f t="shared" si="18"/>
        <v>0</v>
      </c>
      <c r="BE31" s="24">
        <v>0</v>
      </c>
      <c r="BF31" s="24">
        <f>31</f>
        <v>31</v>
      </c>
      <c r="BH31" s="24">
        <f t="shared" si="19"/>
        <v>0</v>
      </c>
      <c r="BI31" s="24">
        <f t="shared" si="20"/>
        <v>0</v>
      </c>
      <c r="BJ31" s="24">
        <f t="shared" si="21"/>
        <v>0</v>
      </c>
      <c r="BK31" s="26" t="s">
        <v>56</v>
      </c>
      <c r="BL31" s="24">
        <v>776</v>
      </c>
      <c r="BW31" s="24">
        <v>12</v>
      </c>
      <c r="BX31" s="4" t="s">
        <v>114</v>
      </c>
    </row>
    <row r="32" spans="1:76" x14ac:dyDescent="0.25">
      <c r="A32" s="2" t="s">
        <v>115</v>
      </c>
      <c r="B32" s="3" t="s">
        <v>116</v>
      </c>
      <c r="C32" s="67" t="s">
        <v>117</v>
      </c>
      <c r="D32" s="64"/>
      <c r="E32" s="3" t="s">
        <v>79</v>
      </c>
      <c r="F32" s="24"/>
      <c r="G32" s="24">
        <v>0</v>
      </c>
      <c r="H32" s="24">
        <f t="shared" si="0"/>
        <v>0</v>
      </c>
      <c r="I32" s="24">
        <f t="shared" si="1"/>
        <v>0</v>
      </c>
      <c r="J32" s="24">
        <f t="shared" si="2"/>
        <v>0</v>
      </c>
      <c r="K32" s="25"/>
      <c r="Z32" s="24">
        <f t="shared" si="3"/>
        <v>0</v>
      </c>
      <c r="AB32" s="24">
        <f t="shared" si="4"/>
        <v>0</v>
      </c>
      <c r="AC32" s="24">
        <f t="shared" si="5"/>
        <v>0</v>
      </c>
      <c r="AD32" s="24">
        <f t="shared" si="6"/>
        <v>0</v>
      </c>
      <c r="AE32" s="24">
        <f t="shared" si="7"/>
        <v>0</v>
      </c>
      <c r="AF32" s="24">
        <f t="shared" si="8"/>
        <v>0</v>
      </c>
      <c r="AG32" s="24">
        <f t="shared" si="9"/>
        <v>0</v>
      </c>
      <c r="AH32" s="24">
        <f t="shared" si="10"/>
        <v>0</v>
      </c>
      <c r="AI32" s="10" t="s">
        <v>47</v>
      </c>
      <c r="AJ32" s="24">
        <f t="shared" si="11"/>
        <v>0</v>
      </c>
      <c r="AK32" s="24">
        <f t="shared" si="12"/>
        <v>0</v>
      </c>
      <c r="AL32" s="24">
        <f t="shared" si="13"/>
        <v>0</v>
      </c>
      <c r="AN32" s="24">
        <v>12</v>
      </c>
      <c r="AO32" s="24">
        <f>G32*0</f>
        <v>0</v>
      </c>
      <c r="AP32" s="24">
        <f>G32*(1-0)</f>
        <v>0</v>
      </c>
      <c r="AQ32" s="26" t="s">
        <v>73</v>
      </c>
      <c r="AV32" s="24">
        <f t="shared" si="14"/>
        <v>0</v>
      </c>
      <c r="AW32" s="24">
        <f t="shared" si="15"/>
        <v>0</v>
      </c>
      <c r="AX32" s="24">
        <f t="shared" si="16"/>
        <v>0</v>
      </c>
      <c r="AY32" s="26" t="s">
        <v>92</v>
      </c>
      <c r="AZ32" s="26" t="s">
        <v>92</v>
      </c>
      <c r="BA32" s="10" t="s">
        <v>55</v>
      </c>
      <c r="BC32" s="24">
        <f t="shared" si="17"/>
        <v>0</v>
      </c>
      <c r="BD32" s="24">
        <f t="shared" si="18"/>
        <v>0</v>
      </c>
      <c r="BE32" s="24">
        <v>0</v>
      </c>
      <c r="BF32" s="24">
        <f>32</f>
        <v>32</v>
      </c>
      <c r="BH32" s="24">
        <f t="shared" si="19"/>
        <v>0</v>
      </c>
      <c r="BI32" s="24">
        <f t="shared" si="20"/>
        <v>0</v>
      </c>
      <c r="BJ32" s="24">
        <f t="shared" si="21"/>
        <v>0</v>
      </c>
      <c r="BK32" s="26" t="s">
        <v>56</v>
      </c>
      <c r="BL32" s="24">
        <v>776</v>
      </c>
      <c r="BW32" s="24">
        <v>12</v>
      </c>
      <c r="BX32" s="4" t="s">
        <v>117</v>
      </c>
    </row>
    <row r="33" spans="1:76" x14ac:dyDescent="0.25">
      <c r="A33" s="27" t="s">
        <v>47</v>
      </c>
      <c r="B33" s="28" t="s">
        <v>118</v>
      </c>
      <c r="C33" s="123" t="s">
        <v>119</v>
      </c>
      <c r="D33" s="124"/>
      <c r="E33" s="29" t="s">
        <v>4</v>
      </c>
      <c r="F33" s="29" t="s">
        <v>4</v>
      </c>
      <c r="G33" s="29" t="s">
        <v>4</v>
      </c>
      <c r="H33" s="1">
        <f>ROUND(SUM(H34:H39),0)</f>
        <v>0</v>
      </c>
      <c r="I33" s="1">
        <f>ROUND(SUM(I34:I39),0)</f>
        <v>0</v>
      </c>
      <c r="J33" s="1">
        <f>ROUND(SUM(J34:J39),0)</f>
        <v>0</v>
      </c>
      <c r="K33" s="30"/>
      <c r="AI33" s="10" t="s">
        <v>47</v>
      </c>
      <c r="AS33" s="1">
        <f>SUM(AJ34:AJ39)</f>
        <v>0</v>
      </c>
      <c r="AT33" s="1">
        <f>SUM(AK34:AK39)</f>
        <v>0</v>
      </c>
      <c r="AU33" s="1">
        <f>SUM(AL34:AL39)</f>
        <v>0</v>
      </c>
    </row>
    <row r="34" spans="1:76" x14ac:dyDescent="0.25">
      <c r="A34" s="2" t="s">
        <v>120</v>
      </c>
      <c r="B34" s="3" t="s">
        <v>121</v>
      </c>
      <c r="C34" s="67" t="s">
        <v>122</v>
      </c>
      <c r="D34" s="64"/>
      <c r="E34" s="3" t="s">
        <v>91</v>
      </c>
      <c r="F34" s="24">
        <v>86.16</v>
      </c>
      <c r="G34" s="24">
        <v>0</v>
      </c>
      <c r="H34" s="24">
        <f t="shared" ref="H34:H39" si="22">ROUND(F34*AO34,2)</f>
        <v>0</v>
      </c>
      <c r="I34" s="24">
        <f t="shared" ref="I34:I39" si="23">ROUND(F34*AP34,2)</f>
        <v>0</v>
      </c>
      <c r="J34" s="24">
        <f t="shared" ref="J34:J39" si="24">F34*G34</f>
        <v>0</v>
      </c>
      <c r="K34" s="25"/>
      <c r="Z34" s="24">
        <f t="shared" ref="Z34:Z39" si="25">ROUND(IF(AQ34="5",BJ34,0),2)</f>
        <v>0</v>
      </c>
      <c r="AB34" s="24">
        <f t="shared" ref="AB34:AB39" si="26">ROUND(IF(AQ34="1",BH34,0),2)</f>
        <v>0</v>
      </c>
      <c r="AC34" s="24">
        <f t="shared" ref="AC34:AC39" si="27">ROUND(IF(AQ34="1",BI34,0),2)</f>
        <v>0</v>
      </c>
      <c r="AD34" s="24">
        <f t="shared" ref="AD34:AD39" si="28">ROUND(IF(AQ34="7",BH34,0),2)</f>
        <v>0</v>
      </c>
      <c r="AE34" s="24">
        <f t="shared" ref="AE34:AE39" si="29">ROUND(IF(AQ34="7",BI34,0),2)</f>
        <v>0</v>
      </c>
      <c r="AF34" s="24">
        <f t="shared" ref="AF34:AF39" si="30">ROUND(IF(AQ34="2",BH34,0),2)</f>
        <v>0</v>
      </c>
      <c r="AG34" s="24">
        <f t="shared" ref="AG34:AG39" si="31">ROUND(IF(AQ34="2",BI34,0),2)</f>
        <v>0</v>
      </c>
      <c r="AH34" s="24">
        <f t="shared" ref="AH34:AH39" si="32">ROUND(IF(AQ34="0",BJ34,0),2)</f>
        <v>0</v>
      </c>
      <c r="AI34" s="10" t="s">
        <v>47</v>
      </c>
      <c r="AJ34" s="24">
        <f t="shared" ref="AJ34:AJ39" si="33">IF(AN34=0,J34,0)</f>
        <v>0</v>
      </c>
      <c r="AK34" s="24">
        <f t="shared" ref="AK34:AK39" si="34">IF(AN34=12,J34,0)</f>
        <v>0</v>
      </c>
      <c r="AL34" s="24">
        <f t="shared" ref="AL34:AL39" si="35">IF(AN34=21,J34,0)</f>
        <v>0</v>
      </c>
      <c r="AN34" s="24">
        <v>12</v>
      </c>
      <c r="AO34" s="24">
        <f>G34*0.113834324</f>
        <v>0</v>
      </c>
      <c r="AP34" s="24">
        <f>G34*(1-0.113834324)</f>
        <v>0</v>
      </c>
      <c r="AQ34" s="26" t="s">
        <v>68</v>
      </c>
      <c r="AV34" s="24">
        <f t="shared" ref="AV34:AV39" si="36">ROUND(AW34+AX34,2)</f>
        <v>0</v>
      </c>
      <c r="AW34" s="24">
        <f t="shared" ref="AW34:AW39" si="37">ROUND(F34*AO34,2)</f>
        <v>0</v>
      </c>
      <c r="AX34" s="24">
        <f t="shared" ref="AX34:AX39" si="38">ROUND(F34*AP34,2)</f>
        <v>0</v>
      </c>
      <c r="AY34" s="26" t="s">
        <v>123</v>
      </c>
      <c r="AZ34" s="26" t="s">
        <v>123</v>
      </c>
      <c r="BA34" s="10" t="s">
        <v>55</v>
      </c>
      <c r="BC34" s="24">
        <f t="shared" ref="BC34:BC39" si="39">AW34+AX34</f>
        <v>0</v>
      </c>
      <c r="BD34" s="24">
        <f t="shared" ref="BD34:BD39" si="40">G34/(100-BE34)*100</f>
        <v>0</v>
      </c>
      <c r="BE34" s="24">
        <v>0</v>
      </c>
      <c r="BF34" s="24">
        <f>34</f>
        <v>34</v>
      </c>
      <c r="BH34" s="24">
        <f t="shared" ref="BH34:BH39" si="41">F34*AO34</f>
        <v>0</v>
      </c>
      <c r="BI34" s="24">
        <f t="shared" ref="BI34:BI39" si="42">F34*AP34</f>
        <v>0</v>
      </c>
      <c r="BJ34" s="24">
        <f t="shared" ref="BJ34:BJ39" si="43">F34*G34</f>
        <v>0</v>
      </c>
      <c r="BK34" s="26" t="s">
        <v>56</v>
      </c>
      <c r="BL34" s="24">
        <v>784</v>
      </c>
      <c r="BW34" s="24">
        <v>12</v>
      </c>
      <c r="BX34" s="4" t="s">
        <v>122</v>
      </c>
    </row>
    <row r="35" spans="1:76" x14ac:dyDescent="0.25">
      <c r="A35" s="2" t="s">
        <v>124</v>
      </c>
      <c r="B35" s="3" t="s">
        <v>125</v>
      </c>
      <c r="C35" s="67" t="s">
        <v>126</v>
      </c>
      <c r="D35" s="64"/>
      <c r="E35" s="3" t="s">
        <v>53</v>
      </c>
      <c r="F35" s="24">
        <v>48.86</v>
      </c>
      <c r="G35" s="24">
        <v>0</v>
      </c>
      <c r="H35" s="24">
        <f t="shared" si="22"/>
        <v>0</v>
      </c>
      <c r="I35" s="24">
        <f t="shared" si="23"/>
        <v>0</v>
      </c>
      <c r="J35" s="24">
        <f t="shared" si="24"/>
        <v>0</v>
      </c>
      <c r="K35" s="25"/>
      <c r="Z35" s="24">
        <f t="shared" si="25"/>
        <v>0</v>
      </c>
      <c r="AB35" s="24">
        <f t="shared" si="26"/>
        <v>0</v>
      </c>
      <c r="AC35" s="24">
        <f t="shared" si="27"/>
        <v>0</v>
      </c>
      <c r="AD35" s="24">
        <f t="shared" si="28"/>
        <v>0</v>
      </c>
      <c r="AE35" s="24">
        <f t="shared" si="29"/>
        <v>0</v>
      </c>
      <c r="AF35" s="24">
        <f t="shared" si="30"/>
        <v>0</v>
      </c>
      <c r="AG35" s="24">
        <f t="shared" si="31"/>
        <v>0</v>
      </c>
      <c r="AH35" s="24">
        <f t="shared" si="32"/>
        <v>0</v>
      </c>
      <c r="AI35" s="10" t="s">
        <v>47</v>
      </c>
      <c r="AJ35" s="24">
        <f t="shared" si="33"/>
        <v>0</v>
      </c>
      <c r="AK35" s="24">
        <f t="shared" si="34"/>
        <v>0</v>
      </c>
      <c r="AL35" s="24">
        <f t="shared" si="35"/>
        <v>0</v>
      </c>
      <c r="AN35" s="24">
        <v>12</v>
      </c>
      <c r="AO35" s="24">
        <f>G35*0.600354156</f>
        <v>0</v>
      </c>
      <c r="AP35" s="24">
        <f>G35*(1-0.600354156)</f>
        <v>0</v>
      </c>
      <c r="AQ35" s="26" t="s">
        <v>68</v>
      </c>
      <c r="AV35" s="24">
        <f t="shared" si="36"/>
        <v>0</v>
      </c>
      <c r="AW35" s="24">
        <f t="shared" si="37"/>
        <v>0</v>
      </c>
      <c r="AX35" s="24">
        <f t="shared" si="38"/>
        <v>0</v>
      </c>
      <c r="AY35" s="26" t="s">
        <v>123</v>
      </c>
      <c r="AZ35" s="26" t="s">
        <v>123</v>
      </c>
      <c r="BA35" s="10" t="s">
        <v>55</v>
      </c>
      <c r="BC35" s="24">
        <f t="shared" si="39"/>
        <v>0</v>
      </c>
      <c r="BD35" s="24">
        <f t="shared" si="40"/>
        <v>0</v>
      </c>
      <c r="BE35" s="24">
        <v>0</v>
      </c>
      <c r="BF35" s="24">
        <f>35</f>
        <v>35</v>
      </c>
      <c r="BH35" s="24">
        <f t="shared" si="41"/>
        <v>0</v>
      </c>
      <c r="BI35" s="24">
        <f t="shared" si="42"/>
        <v>0</v>
      </c>
      <c r="BJ35" s="24">
        <f t="shared" si="43"/>
        <v>0</v>
      </c>
      <c r="BK35" s="26" t="s">
        <v>56</v>
      </c>
      <c r="BL35" s="24">
        <v>784</v>
      </c>
      <c r="BW35" s="24">
        <v>12</v>
      </c>
      <c r="BX35" s="4" t="s">
        <v>126</v>
      </c>
    </row>
    <row r="36" spans="1:76" x14ac:dyDescent="0.25">
      <c r="A36" s="2" t="s">
        <v>127</v>
      </c>
      <c r="B36" s="3" t="s">
        <v>128</v>
      </c>
      <c r="C36" s="67" t="s">
        <v>129</v>
      </c>
      <c r="D36" s="64"/>
      <c r="E36" s="3" t="s">
        <v>53</v>
      </c>
      <c r="F36" s="24">
        <v>190.76</v>
      </c>
      <c r="G36" s="24">
        <v>0</v>
      </c>
      <c r="H36" s="24">
        <f t="shared" si="22"/>
        <v>0</v>
      </c>
      <c r="I36" s="24">
        <f t="shared" si="23"/>
        <v>0</v>
      </c>
      <c r="J36" s="24">
        <f t="shared" si="24"/>
        <v>0</v>
      </c>
      <c r="K36" s="25"/>
      <c r="Z36" s="24">
        <f t="shared" si="25"/>
        <v>0</v>
      </c>
      <c r="AB36" s="24">
        <f t="shared" si="26"/>
        <v>0</v>
      </c>
      <c r="AC36" s="24">
        <f t="shared" si="27"/>
        <v>0</v>
      </c>
      <c r="AD36" s="24">
        <f t="shared" si="28"/>
        <v>0</v>
      </c>
      <c r="AE36" s="24">
        <f t="shared" si="29"/>
        <v>0</v>
      </c>
      <c r="AF36" s="24">
        <f t="shared" si="30"/>
        <v>0</v>
      </c>
      <c r="AG36" s="24">
        <f t="shared" si="31"/>
        <v>0</v>
      </c>
      <c r="AH36" s="24">
        <f t="shared" si="32"/>
        <v>0</v>
      </c>
      <c r="AI36" s="10" t="s">
        <v>47</v>
      </c>
      <c r="AJ36" s="24">
        <f t="shared" si="33"/>
        <v>0</v>
      </c>
      <c r="AK36" s="24">
        <f t="shared" si="34"/>
        <v>0</v>
      </c>
      <c r="AL36" s="24">
        <f t="shared" si="35"/>
        <v>0</v>
      </c>
      <c r="AN36" s="24">
        <v>12</v>
      </c>
      <c r="AO36" s="24">
        <f>G36*0.002320283</f>
        <v>0</v>
      </c>
      <c r="AP36" s="24">
        <f>G36*(1-0.002320283)</f>
        <v>0</v>
      </c>
      <c r="AQ36" s="26" t="s">
        <v>68</v>
      </c>
      <c r="AV36" s="24">
        <f t="shared" si="36"/>
        <v>0</v>
      </c>
      <c r="AW36" s="24">
        <f t="shared" si="37"/>
        <v>0</v>
      </c>
      <c r="AX36" s="24">
        <f t="shared" si="38"/>
        <v>0</v>
      </c>
      <c r="AY36" s="26" t="s">
        <v>123</v>
      </c>
      <c r="AZ36" s="26" t="s">
        <v>123</v>
      </c>
      <c r="BA36" s="10" t="s">
        <v>55</v>
      </c>
      <c r="BC36" s="24">
        <f t="shared" si="39"/>
        <v>0</v>
      </c>
      <c r="BD36" s="24">
        <f t="shared" si="40"/>
        <v>0</v>
      </c>
      <c r="BE36" s="24">
        <v>0</v>
      </c>
      <c r="BF36" s="24">
        <f>36</f>
        <v>36</v>
      </c>
      <c r="BH36" s="24">
        <f t="shared" si="41"/>
        <v>0</v>
      </c>
      <c r="BI36" s="24">
        <f t="shared" si="42"/>
        <v>0</v>
      </c>
      <c r="BJ36" s="24">
        <f t="shared" si="43"/>
        <v>0</v>
      </c>
      <c r="BK36" s="26" t="s">
        <v>56</v>
      </c>
      <c r="BL36" s="24">
        <v>784</v>
      </c>
      <c r="BW36" s="24">
        <v>12</v>
      </c>
      <c r="BX36" s="4" t="s">
        <v>129</v>
      </c>
    </row>
    <row r="37" spans="1:76" x14ac:dyDescent="0.25">
      <c r="A37" s="2" t="s">
        <v>130</v>
      </c>
      <c r="B37" s="3" t="s">
        <v>131</v>
      </c>
      <c r="C37" s="67" t="s">
        <v>132</v>
      </c>
      <c r="D37" s="64"/>
      <c r="E37" s="3" t="s">
        <v>53</v>
      </c>
      <c r="F37" s="24">
        <v>190.76</v>
      </c>
      <c r="G37" s="24">
        <v>0</v>
      </c>
      <c r="H37" s="24">
        <f t="shared" si="22"/>
        <v>0</v>
      </c>
      <c r="I37" s="24">
        <f t="shared" si="23"/>
        <v>0</v>
      </c>
      <c r="J37" s="24">
        <f t="shared" si="24"/>
        <v>0</v>
      </c>
      <c r="K37" s="25"/>
      <c r="Z37" s="24">
        <f t="shared" si="25"/>
        <v>0</v>
      </c>
      <c r="AB37" s="24">
        <f t="shared" si="26"/>
        <v>0</v>
      </c>
      <c r="AC37" s="24">
        <f t="shared" si="27"/>
        <v>0</v>
      </c>
      <c r="AD37" s="24">
        <f t="shared" si="28"/>
        <v>0</v>
      </c>
      <c r="AE37" s="24">
        <f t="shared" si="29"/>
        <v>0</v>
      </c>
      <c r="AF37" s="24">
        <f t="shared" si="30"/>
        <v>0</v>
      </c>
      <c r="AG37" s="24">
        <f t="shared" si="31"/>
        <v>0</v>
      </c>
      <c r="AH37" s="24">
        <f t="shared" si="32"/>
        <v>0</v>
      </c>
      <c r="AI37" s="10" t="s">
        <v>47</v>
      </c>
      <c r="AJ37" s="24">
        <f t="shared" si="33"/>
        <v>0</v>
      </c>
      <c r="AK37" s="24">
        <f t="shared" si="34"/>
        <v>0</v>
      </c>
      <c r="AL37" s="24">
        <f t="shared" si="35"/>
        <v>0</v>
      </c>
      <c r="AN37" s="24">
        <v>12</v>
      </c>
      <c r="AO37" s="24">
        <f>G37*0.462385697</f>
        <v>0</v>
      </c>
      <c r="AP37" s="24">
        <f>G37*(1-0.462385697)</f>
        <v>0</v>
      </c>
      <c r="AQ37" s="26" t="s">
        <v>68</v>
      </c>
      <c r="AV37" s="24">
        <f t="shared" si="36"/>
        <v>0</v>
      </c>
      <c r="AW37" s="24">
        <f t="shared" si="37"/>
        <v>0</v>
      </c>
      <c r="AX37" s="24">
        <f t="shared" si="38"/>
        <v>0</v>
      </c>
      <c r="AY37" s="26" t="s">
        <v>123</v>
      </c>
      <c r="AZ37" s="26" t="s">
        <v>123</v>
      </c>
      <c r="BA37" s="10" t="s">
        <v>55</v>
      </c>
      <c r="BC37" s="24">
        <f t="shared" si="39"/>
        <v>0</v>
      </c>
      <c r="BD37" s="24">
        <f t="shared" si="40"/>
        <v>0</v>
      </c>
      <c r="BE37" s="24">
        <v>0</v>
      </c>
      <c r="BF37" s="24">
        <f>37</f>
        <v>37</v>
      </c>
      <c r="BH37" s="24">
        <f t="shared" si="41"/>
        <v>0</v>
      </c>
      <c r="BI37" s="24">
        <f t="shared" si="42"/>
        <v>0</v>
      </c>
      <c r="BJ37" s="24">
        <f t="shared" si="43"/>
        <v>0</v>
      </c>
      <c r="BK37" s="26" t="s">
        <v>56</v>
      </c>
      <c r="BL37" s="24">
        <v>784</v>
      </c>
      <c r="BW37" s="24">
        <v>12</v>
      </c>
      <c r="BX37" s="4" t="s">
        <v>132</v>
      </c>
    </row>
    <row r="38" spans="1:76" x14ac:dyDescent="0.25">
      <c r="A38" s="2" t="s">
        <v>133</v>
      </c>
      <c r="B38" s="3" t="s">
        <v>134</v>
      </c>
      <c r="C38" s="67" t="s">
        <v>135</v>
      </c>
      <c r="D38" s="64"/>
      <c r="E38" s="3" t="s">
        <v>53</v>
      </c>
      <c r="F38" s="24">
        <v>190.76</v>
      </c>
      <c r="G38" s="24">
        <v>0</v>
      </c>
      <c r="H38" s="24">
        <f t="shared" si="22"/>
        <v>0</v>
      </c>
      <c r="I38" s="24">
        <f t="shared" si="23"/>
        <v>0</v>
      </c>
      <c r="J38" s="24">
        <f t="shared" si="24"/>
        <v>0</v>
      </c>
      <c r="K38" s="25"/>
      <c r="Z38" s="24">
        <f t="shared" si="25"/>
        <v>0</v>
      </c>
      <c r="AB38" s="24">
        <f t="shared" si="26"/>
        <v>0</v>
      </c>
      <c r="AC38" s="24">
        <f t="shared" si="27"/>
        <v>0</v>
      </c>
      <c r="AD38" s="24">
        <f t="shared" si="28"/>
        <v>0</v>
      </c>
      <c r="AE38" s="24">
        <f t="shared" si="29"/>
        <v>0</v>
      </c>
      <c r="AF38" s="24">
        <f t="shared" si="30"/>
        <v>0</v>
      </c>
      <c r="AG38" s="24">
        <f t="shared" si="31"/>
        <v>0</v>
      </c>
      <c r="AH38" s="24">
        <f t="shared" si="32"/>
        <v>0</v>
      </c>
      <c r="AI38" s="10" t="s">
        <v>47</v>
      </c>
      <c r="AJ38" s="24">
        <f t="shared" si="33"/>
        <v>0</v>
      </c>
      <c r="AK38" s="24">
        <f t="shared" si="34"/>
        <v>0</v>
      </c>
      <c r="AL38" s="24">
        <f t="shared" si="35"/>
        <v>0</v>
      </c>
      <c r="AN38" s="24">
        <v>12</v>
      </c>
      <c r="AO38" s="24">
        <f>G38*0.364841819</f>
        <v>0</v>
      </c>
      <c r="AP38" s="24">
        <f>G38*(1-0.364841819)</f>
        <v>0</v>
      </c>
      <c r="AQ38" s="26" t="s">
        <v>68</v>
      </c>
      <c r="AV38" s="24">
        <f t="shared" si="36"/>
        <v>0</v>
      </c>
      <c r="AW38" s="24">
        <f t="shared" si="37"/>
        <v>0</v>
      </c>
      <c r="AX38" s="24">
        <f t="shared" si="38"/>
        <v>0</v>
      </c>
      <c r="AY38" s="26" t="s">
        <v>123</v>
      </c>
      <c r="AZ38" s="26" t="s">
        <v>123</v>
      </c>
      <c r="BA38" s="10" t="s">
        <v>55</v>
      </c>
      <c r="BC38" s="24">
        <f t="shared" si="39"/>
        <v>0</v>
      </c>
      <c r="BD38" s="24">
        <f t="shared" si="40"/>
        <v>0</v>
      </c>
      <c r="BE38" s="24">
        <v>0</v>
      </c>
      <c r="BF38" s="24">
        <f>38</f>
        <v>38</v>
      </c>
      <c r="BH38" s="24">
        <f t="shared" si="41"/>
        <v>0</v>
      </c>
      <c r="BI38" s="24">
        <f t="shared" si="42"/>
        <v>0</v>
      </c>
      <c r="BJ38" s="24">
        <f t="shared" si="43"/>
        <v>0</v>
      </c>
      <c r="BK38" s="26" t="s">
        <v>56</v>
      </c>
      <c r="BL38" s="24">
        <v>784</v>
      </c>
      <c r="BW38" s="24">
        <v>12</v>
      </c>
      <c r="BX38" s="4" t="s">
        <v>135</v>
      </c>
    </row>
    <row r="39" spans="1:76" x14ac:dyDescent="0.25">
      <c r="A39" s="2" t="s">
        <v>136</v>
      </c>
      <c r="B39" s="3" t="s">
        <v>137</v>
      </c>
      <c r="C39" s="67" t="s">
        <v>138</v>
      </c>
      <c r="D39" s="64"/>
      <c r="E39" s="3" t="s">
        <v>53</v>
      </c>
      <c r="F39" s="24">
        <v>47.69</v>
      </c>
      <c r="G39" s="24">
        <v>0</v>
      </c>
      <c r="H39" s="24">
        <f t="shared" si="22"/>
        <v>0</v>
      </c>
      <c r="I39" s="24">
        <f t="shared" si="23"/>
        <v>0</v>
      </c>
      <c r="J39" s="24">
        <f t="shared" si="24"/>
        <v>0</v>
      </c>
      <c r="K39" s="25"/>
      <c r="Z39" s="24">
        <f t="shared" si="25"/>
        <v>0</v>
      </c>
      <c r="AB39" s="24">
        <f t="shared" si="26"/>
        <v>0</v>
      </c>
      <c r="AC39" s="24">
        <f t="shared" si="27"/>
        <v>0</v>
      </c>
      <c r="AD39" s="24">
        <f t="shared" si="28"/>
        <v>0</v>
      </c>
      <c r="AE39" s="24">
        <f t="shared" si="29"/>
        <v>0</v>
      </c>
      <c r="AF39" s="24">
        <f t="shared" si="30"/>
        <v>0</v>
      </c>
      <c r="AG39" s="24">
        <f t="shared" si="31"/>
        <v>0</v>
      </c>
      <c r="AH39" s="24">
        <f t="shared" si="32"/>
        <v>0</v>
      </c>
      <c r="AI39" s="10" t="s">
        <v>47</v>
      </c>
      <c r="AJ39" s="24">
        <f t="shared" si="33"/>
        <v>0</v>
      </c>
      <c r="AK39" s="24">
        <f t="shared" si="34"/>
        <v>0</v>
      </c>
      <c r="AL39" s="24">
        <f t="shared" si="35"/>
        <v>0</v>
      </c>
      <c r="AN39" s="24">
        <v>12</v>
      </c>
      <c r="AO39" s="24">
        <f>G39*0.251303143</f>
        <v>0</v>
      </c>
      <c r="AP39" s="24">
        <f>G39*(1-0.251303143)</f>
        <v>0</v>
      </c>
      <c r="AQ39" s="26" t="s">
        <v>68</v>
      </c>
      <c r="AV39" s="24">
        <f t="shared" si="36"/>
        <v>0</v>
      </c>
      <c r="AW39" s="24">
        <f t="shared" si="37"/>
        <v>0</v>
      </c>
      <c r="AX39" s="24">
        <f t="shared" si="38"/>
        <v>0</v>
      </c>
      <c r="AY39" s="26" t="s">
        <v>123</v>
      </c>
      <c r="AZ39" s="26" t="s">
        <v>123</v>
      </c>
      <c r="BA39" s="10" t="s">
        <v>55</v>
      </c>
      <c r="BC39" s="24">
        <f t="shared" si="39"/>
        <v>0</v>
      </c>
      <c r="BD39" s="24">
        <f t="shared" si="40"/>
        <v>0</v>
      </c>
      <c r="BE39" s="24">
        <v>0</v>
      </c>
      <c r="BF39" s="24">
        <f>39</f>
        <v>39</v>
      </c>
      <c r="BH39" s="24">
        <f t="shared" si="41"/>
        <v>0</v>
      </c>
      <c r="BI39" s="24">
        <f t="shared" si="42"/>
        <v>0</v>
      </c>
      <c r="BJ39" s="24">
        <f t="shared" si="43"/>
        <v>0</v>
      </c>
      <c r="BK39" s="26" t="s">
        <v>56</v>
      </c>
      <c r="BL39" s="24">
        <v>784</v>
      </c>
      <c r="BW39" s="24">
        <v>12</v>
      </c>
      <c r="BX39" s="4" t="s">
        <v>138</v>
      </c>
    </row>
    <row r="40" spans="1:76" x14ac:dyDescent="0.25">
      <c r="A40" s="27" t="s">
        <v>47</v>
      </c>
      <c r="B40" s="28" t="s">
        <v>139</v>
      </c>
      <c r="C40" s="123" t="s">
        <v>140</v>
      </c>
      <c r="D40" s="124"/>
      <c r="E40" s="29" t="s">
        <v>4</v>
      </c>
      <c r="F40" s="29" t="s">
        <v>4</v>
      </c>
      <c r="G40" s="29" t="s">
        <v>4</v>
      </c>
      <c r="H40" s="1">
        <f>ROUND(SUM(H41:H42),0)</f>
        <v>0</v>
      </c>
      <c r="I40" s="1">
        <f>ROUND(SUM(I41:I42),0)</f>
        <v>0</v>
      </c>
      <c r="J40" s="1">
        <f>ROUND(SUM(J41:J42),0)</f>
        <v>0</v>
      </c>
      <c r="K40" s="30"/>
      <c r="AI40" s="10" t="s">
        <v>47</v>
      </c>
      <c r="AS40" s="1">
        <f>SUM(AJ41:AJ42)</f>
        <v>0</v>
      </c>
      <c r="AT40" s="1">
        <f>SUM(AK41:AK42)</f>
        <v>0</v>
      </c>
      <c r="AU40" s="1">
        <f>SUM(AL41:AL42)</f>
        <v>0</v>
      </c>
    </row>
    <row r="41" spans="1:76" x14ac:dyDescent="0.25">
      <c r="A41" s="2" t="s">
        <v>141</v>
      </c>
      <c r="B41" s="3" t="s">
        <v>142</v>
      </c>
      <c r="C41" s="67" t="s">
        <v>143</v>
      </c>
      <c r="D41" s="64"/>
      <c r="E41" s="3" t="s">
        <v>53</v>
      </c>
      <c r="F41" s="24">
        <v>48.86</v>
      </c>
      <c r="G41" s="24">
        <v>0</v>
      </c>
      <c r="H41" s="24">
        <f>ROUND(F41*AO41,2)</f>
        <v>0</v>
      </c>
      <c r="I41" s="24">
        <f>ROUND(F41*AP41,2)</f>
        <v>0</v>
      </c>
      <c r="J41" s="24">
        <f>F41*G41</f>
        <v>0</v>
      </c>
      <c r="K41" s="25"/>
      <c r="Z41" s="24">
        <f>ROUND(IF(AQ41="5",BJ41,0),2)</f>
        <v>0</v>
      </c>
      <c r="AB41" s="24">
        <f>ROUND(IF(AQ41="1",BH41,0),2)</f>
        <v>0</v>
      </c>
      <c r="AC41" s="24">
        <f>ROUND(IF(AQ41="1",BI41,0),2)</f>
        <v>0</v>
      </c>
      <c r="AD41" s="24">
        <f>ROUND(IF(AQ41="7",BH41,0),2)</f>
        <v>0</v>
      </c>
      <c r="AE41" s="24">
        <f>ROUND(IF(AQ41="7",BI41,0),2)</f>
        <v>0</v>
      </c>
      <c r="AF41" s="24">
        <f>ROUND(IF(AQ41="2",BH41,0),2)</f>
        <v>0</v>
      </c>
      <c r="AG41" s="24">
        <f>ROUND(IF(AQ41="2",BI41,0),2)</f>
        <v>0</v>
      </c>
      <c r="AH41" s="24">
        <f>ROUND(IF(AQ41="0",BJ41,0),2)</f>
        <v>0</v>
      </c>
      <c r="AI41" s="10" t="s">
        <v>47</v>
      </c>
      <c r="AJ41" s="24">
        <f>IF(AN41=0,J41,0)</f>
        <v>0</v>
      </c>
      <c r="AK41" s="24">
        <f>IF(AN41=12,J41,0)</f>
        <v>0</v>
      </c>
      <c r="AL41" s="24">
        <f>IF(AN41=21,J41,0)</f>
        <v>0</v>
      </c>
      <c r="AN41" s="24">
        <v>12</v>
      </c>
      <c r="AO41" s="24">
        <f>G41*0.014522227</f>
        <v>0</v>
      </c>
      <c r="AP41" s="24">
        <f>G41*(1-0.014522227)</f>
        <v>0</v>
      </c>
      <c r="AQ41" s="26" t="s">
        <v>50</v>
      </c>
      <c r="AV41" s="24">
        <f>ROUND(AW41+AX41,2)</f>
        <v>0</v>
      </c>
      <c r="AW41" s="24">
        <f>ROUND(F41*AO41,2)</f>
        <v>0</v>
      </c>
      <c r="AX41" s="24">
        <f>ROUND(F41*AP41,2)</f>
        <v>0</v>
      </c>
      <c r="AY41" s="26" t="s">
        <v>144</v>
      </c>
      <c r="AZ41" s="26" t="s">
        <v>144</v>
      </c>
      <c r="BA41" s="10" t="s">
        <v>55</v>
      </c>
      <c r="BC41" s="24">
        <f>AW41+AX41</f>
        <v>0</v>
      </c>
      <c r="BD41" s="24">
        <f>G41/(100-BE41)*100</f>
        <v>0</v>
      </c>
      <c r="BE41" s="24">
        <v>0</v>
      </c>
      <c r="BF41" s="24">
        <f>41</f>
        <v>41</v>
      </c>
      <c r="BH41" s="24">
        <f>F41*AO41</f>
        <v>0</v>
      </c>
      <c r="BI41" s="24">
        <f>F41*AP41</f>
        <v>0</v>
      </c>
      <c r="BJ41" s="24">
        <f>F41*G41</f>
        <v>0</v>
      </c>
      <c r="BK41" s="26" t="s">
        <v>56</v>
      </c>
      <c r="BL41" s="24">
        <v>95</v>
      </c>
      <c r="BW41" s="24">
        <v>12</v>
      </c>
      <c r="BX41" s="4" t="s">
        <v>143</v>
      </c>
    </row>
    <row r="42" spans="1:76" x14ac:dyDescent="0.25">
      <c r="A42" s="2" t="s">
        <v>145</v>
      </c>
      <c r="B42" s="3" t="s">
        <v>146</v>
      </c>
      <c r="C42" s="67" t="s">
        <v>147</v>
      </c>
      <c r="D42" s="64"/>
      <c r="E42" s="3" t="s">
        <v>148</v>
      </c>
      <c r="F42" s="24">
        <v>10</v>
      </c>
      <c r="G42" s="24">
        <v>0</v>
      </c>
      <c r="H42" s="24">
        <f>ROUND(F42*AO42,2)</f>
        <v>0</v>
      </c>
      <c r="I42" s="24">
        <f>ROUND(F42*AP42,2)</f>
        <v>0</v>
      </c>
      <c r="J42" s="24">
        <f>F42*G42</f>
        <v>0</v>
      </c>
      <c r="K42" s="25"/>
      <c r="Z42" s="24">
        <f>ROUND(IF(AQ42="5",BJ42,0),2)</f>
        <v>0</v>
      </c>
      <c r="AB42" s="24">
        <f>ROUND(IF(AQ42="1",BH42,0),2)</f>
        <v>0</v>
      </c>
      <c r="AC42" s="24">
        <f>ROUND(IF(AQ42="1",BI42,0),2)</f>
        <v>0</v>
      </c>
      <c r="AD42" s="24">
        <f>ROUND(IF(AQ42="7",BH42,0),2)</f>
        <v>0</v>
      </c>
      <c r="AE42" s="24">
        <f>ROUND(IF(AQ42="7",BI42,0),2)</f>
        <v>0</v>
      </c>
      <c r="AF42" s="24">
        <f>ROUND(IF(AQ42="2",BH42,0),2)</f>
        <v>0</v>
      </c>
      <c r="AG42" s="24">
        <f>ROUND(IF(AQ42="2",BI42,0),2)</f>
        <v>0</v>
      </c>
      <c r="AH42" s="24">
        <f>ROUND(IF(AQ42="0",BJ42,0),2)</f>
        <v>0</v>
      </c>
      <c r="AI42" s="10" t="s">
        <v>47</v>
      </c>
      <c r="AJ42" s="24">
        <f>IF(AN42=0,J42,0)</f>
        <v>0</v>
      </c>
      <c r="AK42" s="24">
        <f>IF(AN42=12,J42,0)</f>
        <v>0</v>
      </c>
      <c r="AL42" s="24">
        <f>IF(AN42=21,J42,0)</f>
        <v>0</v>
      </c>
      <c r="AN42" s="24">
        <v>12</v>
      </c>
      <c r="AO42" s="24">
        <f>G42*0</f>
        <v>0</v>
      </c>
      <c r="AP42" s="24">
        <f>G42*(1-0)</f>
        <v>0</v>
      </c>
      <c r="AQ42" s="26" t="s">
        <v>50</v>
      </c>
      <c r="AV42" s="24">
        <f>ROUND(AW42+AX42,2)</f>
        <v>0</v>
      </c>
      <c r="AW42" s="24">
        <f>ROUND(F42*AO42,2)</f>
        <v>0</v>
      </c>
      <c r="AX42" s="24">
        <f>ROUND(F42*AP42,2)</f>
        <v>0</v>
      </c>
      <c r="AY42" s="26" t="s">
        <v>144</v>
      </c>
      <c r="AZ42" s="26" t="s">
        <v>144</v>
      </c>
      <c r="BA42" s="10" t="s">
        <v>55</v>
      </c>
      <c r="BC42" s="24">
        <f>AW42+AX42</f>
        <v>0</v>
      </c>
      <c r="BD42" s="24">
        <f>G42/(100-BE42)*100</f>
        <v>0</v>
      </c>
      <c r="BE42" s="24">
        <v>0</v>
      </c>
      <c r="BF42" s="24">
        <f>42</f>
        <v>42</v>
      </c>
      <c r="BH42" s="24">
        <f>F42*AO42</f>
        <v>0</v>
      </c>
      <c r="BI42" s="24">
        <f>F42*AP42</f>
        <v>0</v>
      </c>
      <c r="BJ42" s="24">
        <f>F42*G42</f>
        <v>0</v>
      </c>
      <c r="BK42" s="26" t="s">
        <v>56</v>
      </c>
      <c r="BL42" s="24">
        <v>95</v>
      </c>
      <c r="BW42" s="24">
        <v>12</v>
      </c>
      <c r="BX42" s="4" t="s">
        <v>147</v>
      </c>
    </row>
    <row r="43" spans="1:76" x14ac:dyDescent="0.25">
      <c r="A43" s="27" t="s">
        <v>47</v>
      </c>
      <c r="B43" s="28" t="s">
        <v>149</v>
      </c>
      <c r="C43" s="123" t="s">
        <v>150</v>
      </c>
      <c r="D43" s="124"/>
      <c r="E43" s="29" t="s">
        <v>4</v>
      </c>
      <c r="F43" s="29" t="s">
        <v>4</v>
      </c>
      <c r="G43" s="29" t="s">
        <v>4</v>
      </c>
      <c r="H43" s="1">
        <f>ROUND(SUM(H44:H45),0)</f>
        <v>0</v>
      </c>
      <c r="I43" s="1">
        <f>ROUND(SUM(I44:I45),0)</f>
        <v>0</v>
      </c>
      <c r="J43" s="1">
        <f>ROUND(SUM(J44:J45),0)</f>
        <v>0</v>
      </c>
      <c r="K43" s="30"/>
      <c r="AI43" s="10" t="s">
        <v>47</v>
      </c>
      <c r="AS43" s="1">
        <f>SUM(AJ44:AJ45)</f>
        <v>0</v>
      </c>
      <c r="AT43" s="1">
        <f>SUM(AK44:AK45)</f>
        <v>0</v>
      </c>
      <c r="AU43" s="1">
        <f>SUM(AL44:AL45)</f>
        <v>0</v>
      </c>
    </row>
    <row r="44" spans="1:76" x14ac:dyDescent="0.25">
      <c r="A44" s="2" t="s">
        <v>151</v>
      </c>
      <c r="B44" s="3" t="s">
        <v>152</v>
      </c>
      <c r="C44" s="67" t="s">
        <v>153</v>
      </c>
      <c r="D44" s="64"/>
      <c r="E44" s="3" t="s">
        <v>53</v>
      </c>
      <c r="F44" s="24">
        <v>13.42</v>
      </c>
      <c r="G44" s="24">
        <v>0</v>
      </c>
      <c r="H44" s="24">
        <f>ROUND(F44*AO44,2)</f>
        <v>0</v>
      </c>
      <c r="I44" s="24">
        <f>ROUND(F44*AP44,2)</f>
        <v>0</v>
      </c>
      <c r="J44" s="24">
        <f>F44*G44</f>
        <v>0</v>
      </c>
      <c r="K44" s="25"/>
      <c r="Z44" s="24">
        <f>ROUND(IF(AQ44="5",BJ44,0),2)</f>
        <v>0</v>
      </c>
      <c r="AB44" s="24">
        <f>ROUND(IF(AQ44="1",BH44,0),2)</f>
        <v>0</v>
      </c>
      <c r="AC44" s="24">
        <f>ROUND(IF(AQ44="1",BI44,0),2)</f>
        <v>0</v>
      </c>
      <c r="AD44" s="24">
        <f>ROUND(IF(AQ44="7",BH44,0),2)</f>
        <v>0</v>
      </c>
      <c r="AE44" s="24">
        <f>ROUND(IF(AQ44="7",BI44,0),2)</f>
        <v>0</v>
      </c>
      <c r="AF44" s="24">
        <f>ROUND(IF(AQ44="2",BH44,0),2)</f>
        <v>0</v>
      </c>
      <c r="AG44" s="24">
        <f>ROUND(IF(AQ44="2",BI44,0),2)</f>
        <v>0</v>
      </c>
      <c r="AH44" s="24">
        <f>ROUND(IF(AQ44="0",BJ44,0),2)</f>
        <v>0</v>
      </c>
      <c r="AI44" s="10" t="s">
        <v>47</v>
      </c>
      <c r="AJ44" s="24">
        <f>IF(AN44=0,J44,0)</f>
        <v>0</v>
      </c>
      <c r="AK44" s="24">
        <f>IF(AN44=12,J44,0)</f>
        <v>0</v>
      </c>
      <c r="AL44" s="24">
        <f>IF(AN44=21,J44,0)</f>
        <v>0</v>
      </c>
      <c r="AN44" s="24">
        <v>12</v>
      </c>
      <c r="AO44" s="24">
        <f>G44*0</f>
        <v>0</v>
      </c>
      <c r="AP44" s="24">
        <f>G44*(1-0)</f>
        <v>0</v>
      </c>
      <c r="AQ44" s="26" t="s">
        <v>50</v>
      </c>
      <c r="AV44" s="24">
        <f>ROUND(AW44+AX44,2)</f>
        <v>0</v>
      </c>
      <c r="AW44" s="24">
        <f>ROUND(F44*AO44,2)</f>
        <v>0</v>
      </c>
      <c r="AX44" s="24">
        <f>ROUND(F44*AP44,2)</f>
        <v>0</v>
      </c>
      <c r="AY44" s="26" t="s">
        <v>154</v>
      </c>
      <c r="AZ44" s="26" t="s">
        <v>154</v>
      </c>
      <c r="BA44" s="10" t="s">
        <v>55</v>
      </c>
      <c r="BC44" s="24">
        <f>AW44+AX44</f>
        <v>0</v>
      </c>
      <c r="BD44" s="24">
        <f>G44/(100-BE44)*100</f>
        <v>0</v>
      </c>
      <c r="BE44" s="24">
        <v>0</v>
      </c>
      <c r="BF44" s="24">
        <f>44</f>
        <v>44</v>
      </c>
      <c r="BH44" s="24">
        <f>F44*AO44</f>
        <v>0</v>
      </c>
      <c r="BI44" s="24">
        <f>F44*AP44</f>
        <v>0</v>
      </c>
      <c r="BJ44" s="24">
        <f>F44*G44</f>
        <v>0</v>
      </c>
      <c r="BK44" s="26" t="s">
        <v>56</v>
      </c>
      <c r="BL44" s="24">
        <v>97</v>
      </c>
      <c r="BW44" s="24">
        <v>12</v>
      </c>
      <c r="BX44" s="4" t="s">
        <v>153</v>
      </c>
    </row>
    <row r="45" spans="1:76" x14ac:dyDescent="0.25">
      <c r="A45" s="2" t="s">
        <v>155</v>
      </c>
      <c r="B45" s="3" t="s">
        <v>156</v>
      </c>
      <c r="C45" s="67" t="s">
        <v>157</v>
      </c>
      <c r="D45" s="64"/>
      <c r="E45" s="3" t="s">
        <v>53</v>
      </c>
      <c r="F45" s="24">
        <v>48.86</v>
      </c>
      <c r="G45" s="24">
        <v>0</v>
      </c>
      <c r="H45" s="24">
        <f>ROUND(F45*AO45,2)</f>
        <v>0</v>
      </c>
      <c r="I45" s="24">
        <f>ROUND(F45*AP45,2)</f>
        <v>0</v>
      </c>
      <c r="J45" s="24">
        <f>F45*G45</f>
        <v>0</v>
      </c>
      <c r="K45" s="25"/>
      <c r="Z45" s="24">
        <f>ROUND(IF(AQ45="5",BJ45,0),2)</f>
        <v>0</v>
      </c>
      <c r="AB45" s="24">
        <f>ROUND(IF(AQ45="1",BH45,0),2)</f>
        <v>0</v>
      </c>
      <c r="AC45" s="24">
        <f>ROUND(IF(AQ45="1",BI45,0),2)</f>
        <v>0</v>
      </c>
      <c r="AD45" s="24">
        <f>ROUND(IF(AQ45="7",BH45,0),2)</f>
        <v>0</v>
      </c>
      <c r="AE45" s="24">
        <f>ROUND(IF(AQ45="7",BI45,0),2)</f>
        <v>0</v>
      </c>
      <c r="AF45" s="24">
        <f>ROUND(IF(AQ45="2",BH45,0),2)</f>
        <v>0</v>
      </c>
      <c r="AG45" s="24">
        <f>ROUND(IF(AQ45="2",BI45,0),2)</f>
        <v>0</v>
      </c>
      <c r="AH45" s="24">
        <f>ROUND(IF(AQ45="0",BJ45,0),2)</f>
        <v>0</v>
      </c>
      <c r="AI45" s="10" t="s">
        <v>47</v>
      </c>
      <c r="AJ45" s="24">
        <f>IF(AN45=0,J45,0)</f>
        <v>0</v>
      </c>
      <c r="AK45" s="24">
        <f>IF(AN45=12,J45,0)</f>
        <v>0</v>
      </c>
      <c r="AL45" s="24">
        <f>IF(AN45=21,J45,0)</f>
        <v>0</v>
      </c>
      <c r="AN45" s="24">
        <v>12</v>
      </c>
      <c r="AO45" s="24">
        <f>G45*0</f>
        <v>0</v>
      </c>
      <c r="AP45" s="24">
        <f>G45*(1-0)</f>
        <v>0</v>
      </c>
      <c r="AQ45" s="26" t="s">
        <v>50</v>
      </c>
      <c r="AV45" s="24">
        <f>ROUND(AW45+AX45,2)</f>
        <v>0</v>
      </c>
      <c r="AW45" s="24">
        <f>ROUND(F45*AO45,2)</f>
        <v>0</v>
      </c>
      <c r="AX45" s="24">
        <f>ROUND(F45*AP45,2)</f>
        <v>0</v>
      </c>
      <c r="AY45" s="26" t="s">
        <v>154</v>
      </c>
      <c r="AZ45" s="26" t="s">
        <v>154</v>
      </c>
      <c r="BA45" s="10" t="s">
        <v>55</v>
      </c>
      <c r="BC45" s="24">
        <f>AW45+AX45</f>
        <v>0</v>
      </c>
      <c r="BD45" s="24">
        <f>G45/(100-BE45)*100</f>
        <v>0</v>
      </c>
      <c r="BE45" s="24">
        <v>0</v>
      </c>
      <c r="BF45" s="24">
        <f>45</f>
        <v>45</v>
      </c>
      <c r="BH45" s="24">
        <f>F45*AO45</f>
        <v>0</v>
      </c>
      <c r="BI45" s="24">
        <f>F45*AP45</f>
        <v>0</v>
      </c>
      <c r="BJ45" s="24">
        <f>F45*G45</f>
        <v>0</v>
      </c>
      <c r="BK45" s="26" t="s">
        <v>56</v>
      </c>
      <c r="BL45" s="24">
        <v>97</v>
      </c>
      <c r="BW45" s="24">
        <v>12</v>
      </c>
      <c r="BX45" s="4" t="s">
        <v>157</v>
      </c>
    </row>
    <row r="46" spans="1:76" x14ac:dyDescent="0.25">
      <c r="A46" s="27" t="s">
        <v>47</v>
      </c>
      <c r="B46" s="28" t="s">
        <v>158</v>
      </c>
      <c r="C46" s="123" t="s">
        <v>159</v>
      </c>
      <c r="D46" s="124"/>
      <c r="E46" s="29" t="s">
        <v>4</v>
      </c>
      <c r="F46" s="29" t="s">
        <v>4</v>
      </c>
      <c r="G46" s="29" t="s">
        <v>4</v>
      </c>
      <c r="H46" s="1">
        <f>ROUND(SUM(H47:H47),0)</f>
        <v>0</v>
      </c>
      <c r="I46" s="1">
        <f>ROUND(SUM(I47:I47),0)</f>
        <v>0</v>
      </c>
      <c r="J46" s="1">
        <f>ROUND(SUM(J47:J47),0)</f>
        <v>0</v>
      </c>
      <c r="K46" s="30"/>
      <c r="AI46" s="10" t="s">
        <v>47</v>
      </c>
      <c r="AS46" s="1">
        <f>SUM(AJ47:AJ47)</f>
        <v>0</v>
      </c>
      <c r="AT46" s="1">
        <f>SUM(AK47:AK47)</f>
        <v>0</v>
      </c>
      <c r="AU46" s="1">
        <f>SUM(AL47:AL47)</f>
        <v>0</v>
      </c>
    </row>
    <row r="47" spans="1:76" x14ac:dyDescent="0.25">
      <c r="A47" s="2" t="s">
        <v>160</v>
      </c>
      <c r="B47" s="3" t="s">
        <v>161</v>
      </c>
      <c r="C47" s="67" t="s">
        <v>162</v>
      </c>
      <c r="D47" s="64"/>
      <c r="E47" s="3" t="s">
        <v>163</v>
      </c>
      <c r="F47" s="24">
        <v>2.4</v>
      </c>
      <c r="G47" s="24">
        <v>0</v>
      </c>
      <c r="H47" s="24">
        <f>ROUND(F47*AO47,2)</f>
        <v>0</v>
      </c>
      <c r="I47" s="24">
        <f>ROUND(F47*AP47,2)</f>
        <v>0</v>
      </c>
      <c r="J47" s="24">
        <f>F47*G47</f>
        <v>0</v>
      </c>
      <c r="K47" s="25"/>
      <c r="Z47" s="24">
        <f>ROUND(IF(AQ47="5",BJ47,0),2)</f>
        <v>0</v>
      </c>
      <c r="AB47" s="24">
        <f>ROUND(IF(AQ47="1",BH47,0),2)</f>
        <v>0</v>
      </c>
      <c r="AC47" s="24">
        <f>ROUND(IF(AQ47="1",BI47,0),2)</f>
        <v>0</v>
      </c>
      <c r="AD47" s="24">
        <f>ROUND(IF(AQ47="7",BH47,0),2)</f>
        <v>0</v>
      </c>
      <c r="AE47" s="24">
        <f>ROUND(IF(AQ47="7",BI47,0),2)</f>
        <v>0</v>
      </c>
      <c r="AF47" s="24">
        <f>ROUND(IF(AQ47="2",BH47,0),2)</f>
        <v>0</v>
      </c>
      <c r="AG47" s="24">
        <f>ROUND(IF(AQ47="2",BI47,0),2)</f>
        <v>0</v>
      </c>
      <c r="AH47" s="24">
        <f>ROUND(IF(AQ47="0",BJ47,0),2)</f>
        <v>0</v>
      </c>
      <c r="AI47" s="10" t="s">
        <v>47</v>
      </c>
      <c r="AJ47" s="24">
        <f>IF(AN47=0,J47,0)</f>
        <v>0</v>
      </c>
      <c r="AK47" s="24">
        <f>IF(AN47=12,J47,0)</f>
        <v>0</v>
      </c>
      <c r="AL47" s="24">
        <f>IF(AN47=21,J47,0)</f>
        <v>0</v>
      </c>
      <c r="AN47" s="24">
        <v>12</v>
      </c>
      <c r="AO47" s="24">
        <f>G47*0</f>
        <v>0</v>
      </c>
      <c r="AP47" s="24">
        <f>G47*(1-0)</f>
        <v>0</v>
      </c>
      <c r="AQ47" s="26" t="s">
        <v>73</v>
      </c>
      <c r="AV47" s="24">
        <f>ROUND(AW47+AX47,2)</f>
        <v>0</v>
      </c>
      <c r="AW47" s="24">
        <f>ROUND(F47*AO47,2)</f>
        <v>0</v>
      </c>
      <c r="AX47" s="24">
        <f>ROUND(F47*AP47,2)</f>
        <v>0</v>
      </c>
      <c r="AY47" s="26" t="s">
        <v>164</v>
      </c>
      <c r="AZ47" s="26" t="s">
        <v>164</v>
      </c>
      <c r="BA47" s="10" t="s">
        <v>55</v>
      </c>
      <c r="BC47" s="24">
        <f>AW47+AX47</f>
        <v>0</v>
      </c>
      <c r="BD47" s="24">
        <f>G47/(100-BE47)*100</f>
        <v>0</v>
      </c>
      <c r="BE47" s="24">
        <v>0</v>
      </c>
      <c r="BF47" s="24">
        <f>47</f>
        <v>47</v>
      </c>
      <c r="BH47" s="24">
        <f>F47*AO47</f>
        <v>0</v>
      </c>
      <c r="BI47" s="24">
        <f>F47*AP47</f>
        <v>0</v>
      </c>
      <c r="BJ47" s="24">
        <f>F47*G47</f>
        <v>0</v>
      </c>
      <c r="BK47" s="26" t="s">
        <v>56</v>
      </c>
      <c r="BL47" s="24"/>
      <c r="BW47" s="24">
        <v>12</v>
      </c>
      <c r="BX47" s="4" t="s">
        <v>162</v>
      </c>
    </row>
    <row r="48" spans="1:76" x14ac:dyDescent="0.25">
      <c r="A48" s="27" t="s">
        <v>47</v>
      </c>
      <c r="B48" s="28" t="s">
        <v>165</v>
      </c>
      <c r="C48" s="123" t="s">
        <v>166</v>
      </c>
      <c r="D48" s="124"/>
      <c r="E48" s="29" t="s">
        <v>4</v>
      </c>
      <c r="F48" s="29" t="s">
        <v>4</v>
      </c>
      <c r="G48" s="29" t="s">
        <v>4</v>
      </c>
      <c r="H48" s="1">
        <f>ROUND(SUM(H49:H55),0)</f>
        <v>0</v>
      </c>
      <c r="I48" s="1">
        <f>ROUND(SUM(I49:I55),0)</f>
        <v>0</v>
      </c>
      <c r="J48" s="1">
        <f>ROUND(SUM(J49:J55),0)</f>
        <v>0</v>
      </c>
      <c r="K48" s="30"/>
      <c r="AI48" s="10" t="s">
        <v>47</v>
      </c>
      <c r="AS48" s="1">
        <f>SUM(AJ49:AJ55)</f>
        <v>0</v>
      </c>
      <c r="AT48" s="1">
        <f>SUM(AK49:AK55)</f>
        <v>0</v>
      </c>
      <c r="AU48" s="1">
        <f>SUM(AL49:AL55)</f>
        <v>0</v>
      </c>
    </row>
    <row r="49" spans="1:76" x14ac:dyDescent="0.25">
      <c r="A49" s="2" t="s">
        <v>167</v>
      </c>
      <c r="B49" s="3" t="s">
        <v>168</v>
      </c>
      <c r="C49" s="67" t="s">
        <v>169</v>
      </c>
      <c r="D49" s="64"/>
      <c r="E49" s="3" t="s">
        <v>163</v>
      </c>
      <c r="F49" s="24">
        <v>0.94</v>
      </c>
      <c r="G49" s="24">
        <v>0</v>
      </c>
      <c r="H49" s="24">
        <f t="shared" ref="H49:H55" si="44">ROUND(F49*AO49,2)</f>
        <v>0</v>
      </c>
      <c r="I49" s="24">
        <f t="shared" ref="I49:I55" si="45">ROUND(F49*AP49,2)</f>
        <v>0</v>
      </c>
      <c r="J49" s="24">
        <f t="shared" ref="J49:J55" si="46">F49*G49</f>
        <v>0</v>
      </c>
      <c r="K49" s="25"/>
      <c r="Z49" s="24">
        <f t="shared" ref="Z49:Z55" si="47">ROUND(IF(AQ49="5",BJ49,0),2)</f>
        <v>0</v>
      </c>
      <c r="AB49" s="24">
        <f t="shared" ref="AB49:AB55" si="48">ROUND(IF(AQ49="1",BH49,0),2)</f>
        <v>0</v>
      </c>
      <c r="AC49" s="24">
        <f t="shared" ref="AC49:AC55" si="49">ROUND(IF(AQ49="1",BI49,0),2)</f>
        <v>0</v>
      </c>
      <c r="AD49" s="24">
        <f t="shared" ref="AD49:AD55" si="50">ROUND(IF(AQ49="7",BH49,0),2)</f>
        <v>0</v>
      </c>
      <c r="AE49" s="24">
        <f t="shared" ref="AE49:AE55" si="51">ROUND(IF(AQ49="7",BI49,0),2)</f>
        <v>0</v>
      </c>
      <c r="AF49" s="24">
        <f t="shared" ref="AF49:AF55" si="52">ROUND(IF(AQ49="2",BH49,0),2)</f>
        <v>0</v>
      </c>
      <c r="AG49" s="24">
        <f t="shared" ref="AG49:AG55" si="53">ROUND(IF(AQ49="2",BI49,0),2)</f>
        <v>0</v>
      </c>
      <c r="AH49" s="24">
        <f t="shared" ref="AH49:AH55" si="54">ROUND(IF(AQ49="0",BJ49,0),2)</f>
        <v>0</v>
      </c>
      <c r="AI49" s="10" t="s">
        <v>47</v>
      </c>
      <c r="AJ49" s="24">
        <f t="shared" ref="AJ49:AJ55" si="55">IF(AN49=0,J49,0)</f>
        <v>0</v>
      </c>
      <c r="AK49" s="24">
        <f t="shared" ref="AK49:AK55" si="56">IF(AN49=12,J49,0)</f>
        <v>0</v>
      </c>
      <c r="AL49" s="24">
        <f t="shared" ref="AL49:AL55" si="57">IF(AN49=21,J49,0)</f>
        <v>0</v>
      </c>
      <c r="AN49" s="24">
        <v>12</v>
      </c>
      <c r="AO49" s="24">
        <f>G49*0</f>
        <v>0</v>
      </c>
      <c r="AP49" s="24">
        <f>G49*(1-0)</f>
        <v>0</v>
      </c>
      <c r="AQ49" s="26" t="s">
        <v>73</v>
      </c>
      <c r="AV49" s="24">
        <f t="shared" ref="AV49:AV55" si="58">ROUND(AW49+AX49,2)</f>
        <v>0</v>
      </c>
      <c r="AW49" s="24">
        <f t="shared" ref="AW49:AW55" si="59">ROUND(F49*AO49,2)</f>
        <v>0</v>
      </c>
      <c r="AX49" s="24">
        <f t="shared" ref="AX49:AX55" si="60">ROUND(F49*AP49,2)</f>
        <v>0</v>
      </c>
      <c r="AY49" s="26" t="s">
        <v>170</v>
      </c>
      <c r="AZ49" s="26" t="s">
        <v>170</v>
      </c>
      <c r="BA49" s="10" t="s">
        <v>55</v>
      </c>
      <c r="BC49" s="24">
        <f t="shared" ref="BC49:BC55" si="61">AW49+AX49</f>
        <v>0</v>
      </c>
      <c r="BD49" s="24">
        <f t="shared" ref="BD49:BD55" si="62">G49/(100-BE49)*100</f>
        <v>0</v>
      </c>
      <c r="BE49" s="24">
        <v>0</v>
      </c>
      <c r="BF49" s="24">
        <f>49</f>
        <v>49</v>
      </c>
      <c r="BH49" s="24">
        <f t="shared" ref="BH49:BH55" si="63">F49*AO49</f>
        <v>0</v>
      </c>
      <c r="BI49" s="24">
        <f t="shared" ref="BI49:BI55" si="64">F49*AP49</f>
        <v>0</v>
      </c>
      <c r="BJ49" s="24">
        <f t="shared" ref="BJ49:BJ55" si="65">F49*G49</f>
        <v>0</v>
      </c>
      <c r="BK49" s="26" t="s">
        <v>56</v>
      </c>
      <c r="BL49" s="24"/>
      <c r="BW49" s="24">
        <v>12</v>
      </c>
      <c r="BX49" s="4" t="s">
        <v>169</v>
      </c>
    </row>
    <row r="50" spans="1:76" x14ac:dyDescent="0.25">
      <c r="A50" s="2" t="s">
        <v>171</v>
      </c>
      <c r="B50" s="3" t="s">
        <v>172</v>
      </c>
      <c r="C50" s="67" t="s">
        <v>173</v>
      </c>
      <c r="D50" s="64"/>
      <c r="E50" s="3" t="s">
        <v>163</v>
      </c>
      <c r="F50" s="24">
        <v>0.94</v>
      </c>
      <c r="G50" s="24">
        <v>0</v>
      </c>
      <c r="H50" s="24">
        <f t="shared" si="44"/>
        <v>0</v>
      </c>
      <c r="I50" s="24">
        <f t="shared" si="45"/>
        <v>0</v>
      </c>
      <c r="J50" s="24">
        <f t="shared" si="46"/>
        <v>0</v>
      </c>
      <c r="K50" s="25"/>
      <c r="Z50" s="24">
        <f t="shared" si="47"/>
        <v>0</v>
      </c>
      <c r="AB50" s="24">
        <f t="shared" si="48"/>
        <v>0</v>
      </c>
      <c r="AC50" s="24">
        <f t="shared" si="49"/>
        <v>0</v>
      </c>
      <c r="AD50" s="24">
        <f t="shared" si="50"/>
        <v>0</v>
      </c>
      <c r="AE50" s="24">
        <f t="shared" si="51"/>
        <v>0</v>
      </c>
      <c r="AF50" s="24">
        <f t="shared" si="52"/>
        <v>0</v>
      </c>
      <c r="AG50" s="24">
        <f t="shared" si="53"/>
        <v>0</v>
      </c>
      <c r="AH50" s="24">
        <f t="shared" si="54"/>
        <v>0</v>
      </c>
      <c r="AI50" s="10" t="s">
        <v>47</v>
      </c>
      <c r="AJ50" s="24">
        <f t="shared" si="55"/>
        <v>0</v>
      </c>
      <c r="AK50" s="24">
        <f t="shared" si="56"/>
        <v>0</v>
      </c>
      <c r="AL50" s="24">
        <f t="shared" si="57"/>
        <v>0</v>
      </c>
      <c r="AN50" s="24">
        <v>12</v>
      </c>
      <c r="AO50" s="24">
        <f>G50*0.010887728</f>
        <v>0</v>
      </c>
      <c r="AP50" s="24">
        <f>G50*(1-0.010887728)</f>
        <v>0</v>
      </c>
      <c r="AQ50" s="26" t="s">
        <v>73</v>
      </c>
      <c r="AV50" s="24">
        <f t="shared" si="58"/>
        <v>0</v>
      </c>
      <c r="AW50" s="24">
        <f t="shared" si="59"/>
        <v>0</v>
      </c>
      <c r="AX50" s="24">
        <f t="shared" si="60"/>
        <v>0</v>
      </c>
      <c r="AY50" s="26" t="s">
        <v>170</v>
      </c>
      <c r="AZ50" s="26" t="s">
        <v>170</v>
      </c>
      <c r="BA50" s="10" t="s">
        <v>55</v>
      </c>
      <c r="BC50" s="24">
        <f t="shared" si="61"/>
        <v>0</v>
      </c>
      <c r="BD50" s="24">
        <f t="shared" si="62"/>
        <v>0</v>
      </c>
      <c r="BE50" s="24">
        <v>0</v>
      </c>
      <c r="BF50" s="24">
        <f>50</f>
        <v>50</v>
      </c>
      <c r="BH50" s="24">
        <f t="shared" si="63"/>
        <v>0</v>
      </c>
      <c r="BI50" s="24">
        <f t="shared" si="64"/>
        <v>0</v>
      </c>
      <c r="BJ50" s="24">
        <f t="shared" si="65"/>
        <v>0</v>
      </c>
      <c r="BK50" s="26" t="s">
        <v>56</v>
      </c>
      <c r="BL50" s="24"/>
      <c r="BW50" s="24">
        <v>12</v>
      </c>
      <c r="BX50" s="4" t="s">
        <v>173</v>
      </c>
    </row>
    <row r="51" spans="1:76" x14ac:dyDescent="0.25">
      <c r="A51" s="2" t="s">
        <v>174</v>
      </c>
      <c r="B51" s="3" t="s">
        <v>175</v>
      </c>
      <c r="C51" s="67" t="s">
        <v>176</v>
      </c>
      <c r="D51" s="64"/>
      <c r="E51" s="3" t="s">
        <v>163</v>
      </c>
      <c r="F51" s="24">
        <v>3.76</v>
      </c>
      <c r="G51" s="24">
        <v>0</v>
      </c>
      <c r="H51" s="24">
        <f t="shared" si="44"/>
        <v>0</v>
      </c>
      <c r="I51" s="24">
        <f t="shared" si="45"/>
        <v>0</v>
      </c>
      <c r="J51" s="24">
        <f t="shared" si="46"/>
        <v>0</v>
      </c>
      <c r="K51" s="25"/>
      <c r="Z51" s="24">
        <f t="shared" si="47"/>
        <v>0</v>
      </c>
      <c r="AB51" s="24">
        <f t="shared" si="48"/>
        <v>0</v>
      </c>
      <c r="AC51" s="24">
        <f t="shared" si="49"/>
        <v>0</v>
      </c>
      <c r="AD51" s="24">
        <f t="shared" si="50"/>
        <v>0</v>
      </c>
      <c r="AE51" s="24">
        <f t="shared" si="51"/>
        <v>0</v>
      </c>
      <c r="AF51" s="24">
        <f t="shared" si="52"/>
        <v>0</v>
      </c>
      <c r="AG51" s="24">
        <f t="shared" si="53"/>
        <v>0</v>
      </c>
      <c r="AH51" s="24">
        <f t="shared" si="54"/>
        <v>0</v>
      </c>
      <c r="AI51" s="10" t="s">
        <v>47</v>
      </c>
      <c r="AJ51" s="24">
        <f t="shared" si="55"/>
        <v>0</v>
      </c>
      <c r="AK51" s="24">
        <f t="shared" si="56"/>
        <v>0</v>
      </c>
      <c r="AL51" s="24">
        <f t="shared" si="57"/>
        <v>0</v>
      </c>
      <c r="AN51" s="24">
        <v>12</v>
      </c>
      <c r="AO51" s="24">
        <f>G51*0</f>
        <v>0</v>
      </c>
      <c r="AP51" s="24">
        <f>G51*(1-0)</f>
        <v>0</v>
      </c>
      <c r="AQ51" s="26" t="s">
        <v>73</v>
      </c>
      <c r="AV51" s="24">
        <f t="shared" si="58"/>
        <v>0</v>
      </c>
      <c r="AW51" s="24">
        <f t="shared" si="59"/>
        <v>0</v>
      </c>
      <c r="AX51" s="24">
        <f t="shared" si="60"/>
        <v>0</v>
      </c>
      <c r="AY51" s="26" t="s">
        <v>170</v>
      </c>
      <c r="AZ51" s="26" t="s">
        <v>170</v>
      </c>
      <c r="BA51" s="10" t="s">
        <v>55</v>
      </c>
      <c r="BC51" s="24">
        <f t="shared" si="61"/>
        <v>0</v>
      </c>
      <c r="BD51" s="24">
        <f t="shared" si="62"/>
        <v>0</v>
      </c>
      <c r="BE51" s="24">
        <v>0</v>
      </c>
      <c r="BF51" s="24">
        <f>51</f>
        <v>51</v>
      </c>
      <c r="BH51" s="24">
        <f t="shared" si="63"/>
        <v>0</v>
      </c>
      <c r="BI51" s="24">
        <f t="shared" si="64"/>
        <v>0</v>
      </c>
      <c r="BJ51" s="24">
        <f t="shared" si="65"/>
        <v>0</v>
      </c>
      <c r="BK51" s="26" t="s">
        <v>56</v>
      </c>
      <c r="BL51" s="24"/>
      <c r="BW51" s="24">
        <v>12</v>
      </c>
      <c r="BX51" s="4" t="s">
        <v>176</v>
      </c>
    </row>
    <row r="52" spans="1:76" x14ac:dyDescent="0.25">
      <c r="A52" s="2" t="s">
        <v>177</v>
      </c>
      <c r="B52" s="3" t="s">
        <v>178</v>
      </c>
      <c r="C52" s="67" t="s">
        <v>179</v>
      </c>
      <c r="D52" s="64"/>
      <c r="E52" s="3" t="s">
        <v>163</v>
      </c>
      <c r="F52" s="24">
        <v>0.94</v>
      </c>
      <c r="G52" s="24">
        <v>0</v>
      </c>
      <c r="H52" s="24">
        <f t="shared" si="44"/>
        <v>0</v>
      </c>
      <c r="I52" s="24">
        <f t="shared" si="45"/>
        <v>0</v>
      </c>
      <c r="J52" s="24">
        <f t="shared" si="46"/>
        <v>0</v>
      </c>
      <c r="K52" s="25"/>
      <c r="Z52" s="24">
        <f t="shared" si="47"/>
        <v>0</v>
      </c>
      <c r="AB52" s="24">
        <f t="shared" si="48"/>
        <v>0</v>
      </c>
      <c r="AC52" s="24">
        <f t="shared" si="49"/>
        <v>0</v>
      </c>
      <c r="AD52" s="24">
        <f t="shared" si="50"/>
        <v>0</v>
      </c>
      <c r="AE52" s="24">
        <f t="shared" si="51"/>
        <v>0</v>
      </c>
      <c r="AF52" s="24">
        <f t="shared" si="52"/>
        <v>0</v>
      </c>
      <c r="AG52" s="24">
        <f t="shared" si="53"/>
        <v>0</v>
      </c>
      <c r="AH52" s="24">
        <f t="shared" si="54"/>
        <v>0</v>
      </c>
      <c r="AI52" s="10" t="s">
        <v>47</v>
      </c>
      <c r="AJ52" s="24">
        <f t="shared" si="55"/>
        <v>0</v>
      </c>
      <c r="AK52" s="24">
        <f t="shared" si="56"/>
        <v>0</v>
      </c>
      <c r="AL52" s="24">
        <f t="shared" si="57"/>
        <v>0</v>
      </c>
      <c r="AN52" s="24">
        <v>12</v>
      </c>
      <c r="AO52" s="24">
        <f>G52*0</f>
        <v>0</v>
      </c>
      <c r="AP52" s="24">
        <f>G52*(1-0)</f>
        <v>0</v>
      </c>
      <c r="AQ52" s="26" t="s">
        <v>73</v>
      </c>
      <c r="AV52" s="24">
        <f t="shared" si="58"/>
        <v>0</v>
      </c>
      <c r="AW52" s="24">
        <f t="shared" si="59"/>
        <v>0</v>
      </c>
      <c r="AX52" s="24">
        <f t="shared" si="60"/>
        <v>0</v>
      </c>
      <c r="AY52" s="26" t="s">
        <v>170</v>
      </c>
      <c r="AZ52" s="26" t="s">
        <v>170</v>
      </c>
      <c r="BA52" s="10" t="s">
        <v>55</v>
      </c>
      <c r="BC52" s="24">
        <f t="shared" si="61"/>
        <v>0</v>
      </c>
      <c r="BD52" s="24">
        <f t="shared" si="62"/>
        <v>0</v>
      </c>
      <c r="BE52" s="24">
        <v>0</v>
      </c>
      <c r="BF52" s="24">
        <f>52</f>
        <v>52</v>
      </c>
      <c r="BH52" s="24">
        <f t="shared" si="63"/>
        <v>0</v>
      </c>
      <c r="BI52" s="24">
        <f t="shared" si="64"/>
        <v>0</v>
      </c>
      <c r="BJ52" s="24">
        <f t="shared" si="65"/>
        <v>0</v>
      </c>
      <c r="BK52" s="26" t="s">
        <v>56</v>
      </c>
      <c r="BL52" s="24"/>
      <c r="BW52" s="24">
        <v>12</v>
      </c>
      <c r="BX52" s="4" t="s">
        <v>179</v>
      </c>
    </row>
    <row r="53" spans="1:76" x14ac:dyDescent="0.25">
      <c r="A53" s="2" t="s">
        <v>180</v>
      </c>
      <c r="B53" s="3" t="s">
        <v>181</v>
      </c>
      <c r="C53" s="67" t="s">
        <v>182</v>
      </c>
      <c r="D53" s="64"/>
      <c r="E53" s="3" t="s">
        <v>163</v>
      </c>
      <c r="F53" s="24">
        <v>0.94</v>
      </c>
      <c r="G53" s="24">
        <v>0</v>
      </c>
      <c r="H53" s="24">
        <f t="shared" si="44"/>
        <v>0</v>
      </c>
      <c r="I53" s="24">
        <f t="shared" si="45"/>
        <v>0</v>
      </c>
      <c r="J53" s="24">
        <f t="shared" si="46"/>
        <v>0</v>
      </c>
      <c r="K53" s="25"/>
      <c r="Z53" s="24">
        <f t="shared" si="47"/>
        <v>0</v>
      </c>
      <c r="AB53" s="24">
        <f t="shared" si="48"/>
        <v>0</v>
      </c>
      <c r="AC53" s="24">
        <f t="shared" si="49"/>
        <v>0</v>
      </c>
      <c r="AD53" s="24">
        <f t="shared" si="50"/>
        <v>0</v>
      </c>
      <c r="AE53" s="24">
        <f t="shared" si="51"/>
        <v>0</v>
      </c>
      <c r="AF53" s="24">
        <f t="shared" si="52"/>
        <v>0</v>
      </c>
      <c r="AG53" s="24">
        <f t="shared" si="53"/>
        <v>0</v>
      </c>
      <c r="AH53" s="24">
        <f t="shared" si="54"/>
        <v>0</v>
      </c>
      <c r="AI53" s="10" t="s">
        <v>47</v>
      </c>
      <c r="AJ53" s="24">
        <f t="shared" si="55"/>
        <v>0</v>
      </c>
      <c r="AK53" s="24">
        <f t="shared" si="56"/>
        <v>0</v>
      </c>
      <c r="AL53" s="24">
        <f t="shared" si="57"/>
        <v>0</v>
      </c>
      <c r="AN53" s="24">
        <v>12</v>
      </c>
      <c r="AO53" s="24">
        <f>G53*0</f>
        <v>0</v>
      </c>
      <c r="AP53" s="24">
        <f>G53*(1-0)</f>
        <v>0</v>
      </c>
      <c r="AQ53" s="26" t="s">
        <v>73</v>
      </c>
      <c r="AV53" s="24">
        <f t="shared" si="58"/>
        <v>0</v>
      </c>
      <c r="AW53" s="24">
        <f t="shared" si="59"/>
        <v>0</v>
      </c>
      <c r="AX53" s="24">
        <f t="shared" si="60"/>
        <v>0</v>
      </c>
      <c r="AY53" s="26" t="s">
        <v>170</v>
      </c>
      <c r="AZ53" s="26" t="s">
        <v>170</v>
      </c>
      <c r="BA53" s="10" t="s">
        <v>55</v>
      </c>
      <c r="BC53" s="24">
        <f t="shared" si="61"/>
        <v>0</v>
      </c>
      <c r="BD53" s="24">
        <f t="shared" si="62"/>
        <v>0</v>
      </c>
      <c r="BE53" s="24">
        <v>0</v>
      </c>
      <c r="BF53" s="24">
        <f>53</f>
        <v>53</v>
      </c>
      <c r="BH53" s="24">
        <f t="shared" si="63"/>
        <v>0</v>
      </c>
      <c r="BI53" s="24">
        <f t="shared" si="64"/>
        <v>0</v>
      </c>
      <c r="BJ53" s="24">
        <f t="shared" si="65"/>
        <v>0</v>
      </c>
      <c r="BK53" s="26" t="s">
        <v>56</v>
      </c>
      <c r="BL53" s="24"/>
      <c r="BW53" s="24">
        <v>12</v>
      </c>
      <c r="BX53" s="4" t="s">
        <v>182</v>
      </c>
    </row>
    <row r="54" spans="1:76" x14ac:dyDescent="0.25">
      <c r="A54" s="2" t="s">
        <v>183</v>
      </c>
      <c r="B54" s="3" t="s">
        <v>184</v>
      </c>
      <c r="C54" s="67" t="s">
        <v>185</v>
      </c>
      <c r="D54" s="64"/>
      <c r="E54" s="3" t="s">
        <v>163</v>
      </c>
      <c r="F54" s="24">
        <v>0.94</v>
      </c>
      <c r="G54" s="24">
        <v>0</v>
      </c>
      <c r="H54" s="24">
        <f t="shared" si="44"/>
        <v>0</v>
      </c>
      <c r="I54" s="24">
        <f t="shared" si="45"/>
        <v>0</v>
      </c>
      <c r="J54" s="24">
        <f t="shared" si="46"/>
        <v>0</v>
      </c>
      <c r="K54" s="25"/>
      <c r="Z54" s="24">
        <f t="shared" si="47"/>
        <v>0</v>
      </c>
      <c r="AB54" s="24">
        <f t="shared" si="48"/>
        <v>0</v>
      </c>
      <c r="AC54" s="24">
        <f t="shared" si="49"/>
        <v>0</v>
      </c>
      <c r="AD54" s="24">
        <f t="shared" si="50"/>
        <v>0</v>
      </c>
      <c r="AE54" s="24">
        <f t="shared" si="51"/>
        <v>0</v>
      </c>
      <c r="AF54" s="24">
        <f t="shared" si="52"/>
        <v>0</v>
      </c>
      <c r="AG54" s="24">
        <f t="shared" si="53"/>
        <v>0</v>
      </c>
      <c r="AH54" s="24">
        <f t="shared" si="54"/>
        <v>0</v>
      </c>
      <c r="AI54" s="10" t="s">
        <v>47</v>
      </c>
      <c r="AJ54" s="24">
        <f t="shared" si="55"/>
        <v>0</v>
      </c>
      <c r="AK54" s="24">
        <f t="shared" si="56"/>
        <v>0</v>
      </c>
      <c r="AL54" s="24">
        <f t="shared" si="57"/>
        <v>0</v>
      </c>
      <c r="AN54" s="24">
        <v>12</v>
      </c>
      <c r="AO54" s="24">
        <f>G54*0</f>
        <v>0</v>
      </c>
      <c r="AP54" s="24">
        <f>G54*(1-0)</f>
        <v>0</v>
      </c>
      <c r="AQ54" s="26" t="s">
        <v>73</v>
      </c>
      <c r="AV54" s="24">
        <f t="shared" si="58"/>
        <v>0</v>
      </c>
      <c r="AW54" s="24">
        <f t="shared" si="59"/>
        <v>0</v>
      </c>
      <c r="AX54" s="24">
        <f t="shared" si="60"/>
        <v>0</v>
      </c>
      <c r="AY54" s="26" t="s">
        <v>170</v>
      </c>
      <c r="AZ54" s="26" t="s">
        <v>170</v>
      </c>
      <c r="BA54" s="10" t="s">
        <v>55</v>
      </c>
      <c r="BC54" s="24">
        <f t="shared" si="61"/>
        <v>0</v>
      </c>
      <c r="BD54" s="24">
        <f t="shared" si="62"/>
        <v>0</v>
      </c>
      <c r="BE54" s="24">
        <v>0</v>
      </c>
      <c r="BF54" s="24">
        <f>54</f>
        <v>54</v>
      </c>
      <c r="BH54" s="24">
        <f t="shared" si="63"/>
        <v>0</v>
      </c>
      <c r="BI54" s="24">
        <f t="shared" si="64"/>
        <v>0</v>
      </c>
      <c r="BJ54" s="24">
        <f t="shared" si="65"/>
        <v>0</v>
      </c>
      <c r="BK54" s="26" t="s">
        <v>56</v>
      </c>
      <c r="BL54" s="24"/>
      <c r="BW54" s="24">
        <v>12</v>
      </c>
      <c r="BX54" s="4" t="s">
        <v>185</v>
      </c>
    </row>
    <row r="55" spans="1:76" x14ac:dyDescent="0.25">
      <c r="A55" s="31" t="s">
        <v>186</v>
      </c>
      <c r="B55" s="32" t="s">
        <v>187</v>
      </c>
      <c r="C55" s="125" t="s">
        <v>188</v>
      </c>
      <c r="D55" s="74"/>
      <c r="E55" s="32" t="s">
        <v>163</v>
      </c>
      <c r="F55" s="33">
        <v>0.94</v>
      </c>
      <c r="G55" s="33">
        <v>0</v>
      </c>
      <c r="H55" s="33">
        <f t="shared" si="44"/>
        <v>0</v>
      </c>
      <c r="I55" s="33">
        <f t="shared" si="45"/>
        <v>0</v>
      </c>
      <c r="J55" s="33">
        <f t="shared" si="46"/>
        <v>0</v>
      </c>
      <c r="K55" s="34"/>
      <c r="Z55" s="24">
        <f t="shared" si="47"/>
        <v>0</v>
      </c>
      <c r="AB55" s="24">
        <f t="shared" si="48"/>
        <v>0</v>
      </c>
      <c r="AC55" s="24">
        <f t="shared" si="49"/>
        <v>0</v>
      </c>
      <c r="AD55" s="24">
        <f t="shared" si="50"/>
        <v>0</v>
      </c>
      <c r="AE55" s="24">
        <f t="shared" si="51"/>
        <v>0</v>
      </c>
      <c r="AF55" s="24">
        <f t="shared" si="52"/>
        <v>0</v>
      </c>
      <c r="AG55" s="24">
        <f t="shared" si="53"/>
        <v>0</v>
      </c>
      <c r="AH55" s="24">
        <f t="shared" si="54"/>
        <v>0</v>
      </c>
      <c r="AI55" s="10" t="s">
        <v>47</v>
      </c>
      <c r="AJ55" s="24">
        <f t="shared" si="55"/>
        <v>0</v>
      </c>
      <c r="AK55" s="24">
        <f t="shared" si="56"/>
        <v>0</v>
      </c>
      <c r="AL55" s="24">
        <f t="shared" si="57"/>
        <v>0</v>
      </c>
      <c r="AN55" s="24">
        <v>12</v>
      </c>
      <c r="AO55" s="24">
        <f>G55*0</f>
        <v>0</v>
      </c>
      <c r="AP55" s="24">
        <f>G55*(1-0)</f>
        <v>0</v>
      </c>
      <c r="AQ55" s="26" t="s">
        <v>73</v>
      </c>
      <c r="AV55" s="24">
        <f t="shared" si="58"/>
        <v>0</v>
      </c>
      <c r="AW55" s="24">
        <f t="shared" si="59"/>
        <v>0</v>
      </c>
      <c r="AX55" s="24">
        <f t="shared" si="60"/>
        <v>0</v>
      </c>
      <c r="AY55" s="26" t="s">
        <v>170</v>
      </c>
      <c r="AZ55" s="26" t="s">
        <v>170</v>
      </c>
      <c r="BA55" s="10" t="s">
        <v>55</v>
      </c>
      <c r="BC55" s="24">
        <f t="shared" si="61"/>
        <v>0</v>
      </c>
      <c r="BD55" s="24">
        <f t="shared" si="62"/>
        <v>0</v>
      </c>
      <c r="BE55" s="24">
        <v>0</v>
      </c>
      <c r="BF55" s="24">
        <f>55</f>
        <v>55</v>
      </c>
      <c r="BH55" s="24">
        <f t="shared" si="63"/>
        <v>0</v>
      </c>
      <c r="BI55" s="24">
        <f t="shared" si="64"/>
        <v>0</v>
      </c>
      <c r="BJ55" s="24">
        <f t="shared" si="65"/>
        <v>0</v>
      </c>
      <c r="BK55" s="26" t="s">
        <v>56</v>
      </c>
      <c r="BL55" s="24"/>
      <c r="BW55" s="24">
        <v>12</v>
      </c>
      <c r="BX55" s="4" t="s">
        <v>188</v>
      </c>
    </row>
    <row r="56" spans="1:76" x14ac:dyDescent="0.25">
      <c r="H56" s="126" t="s">
        <v>189</v>
      </c>
      <c r="I56" s="126"/>
      <c r="J56" s="35">
        <f>ROUND(SUM(J12,J14,J16,J21,J23,J33,J40,J43,J46,J48),0)</f>
        <v>0</v>
      </c>
    </row>
    <row r="57" spans="1:76" x14ac:dyDescent="0.25">
      <c r="A57" s="36" t="s">
        <v>190</v>
      </c>
    </row>
    <row r="58" spans="1:76" ht="12.75" customHeight="1" x14ac:dyDescent="0.25">
      <c r="A58" s="67" t="s">
        <v>47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</row>
  </sheetData>
  <mergeCells count="74">
    <mergeCell ref="C55:D55"/>
    <mergeCell ref="H56:I56"/>
    <mergeCell ref="A58:K58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59" t="s">
        <v>235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1" t="s">
        <v>1</v>
      </c>
      <c r="B2" s="62"/>
      <c r="C2" s="71" t="str">
        <f>'Stavební rozpočet'!C2</f>
        <v>BD č.p. 315 parc č. st. 367 v K.ú. Brantice</v>
      </c>
      <c r="D2" s="72"/>
      <c r="E2" s="66" t="s">
        <v>5</v>
      </c>
      <c r="F2" s="66" t="str">
        <f>'Stavební rozpočet'!I2</f>
        <v> </v>
      </c>
      <c r="G2" s="62"/>
      <c r="H2" s="66" t="s">
        <v>192</v>
      </c>
      <c r="I2" s="68" t="s">
        <v>47</v>
      </c>
    </row>
    <row r="3" spans="1:9" ht="15" customHeight="1" x14ac:dyDescent="0.25">
      <c r="A3" s="63"/>
      <c r="B3" s="64"/>
      <c r="C3" s="73"/>
      <c r="D3" s="73"/>
      <c r="E3" s="64"/>
      <c r="F3" s="64"/>
      <c r="G3" s="64"/>
      <c r="H3" s="64"/>
      <c r="I3" s="69"/>
    </row>
    <row r="4" spans="1:9" x14ac:dyDescent="0.25">
      <c r="A4" s="65" t="s">
        <v>7</v>
      </c>
      <c r="B4" s="64"/>
      <c r="C4" s="67" t="str">
        <f>'Stavební rozpočet'!C4</f>
        <v>Odstranění škod po povodni</v>
      </c>
      <c r="D4" s="64"/>
      <c r="E4" s="67" t="s">
        <v>10</v>
      </c>
      <c r="F4" s="67" t="str">
        <f>'Stavební rozpočet'!I4</f>
        <v> </v>
      </c>
      <c r="G4" s="64"/>
      <c r="H4" s="67" t="s">
        <v>192</v>
      </c>
      <c r="I4" s="69" t="s">
        <v>47</v>
      </c>
    </row>
    <row r="5" spans="1:9" ht="15" customHeight="1" x14ac:dyDescent="0.25">
      <c r="A5" s="63"/>
      <c r="B5" s="64"/>
      <c r="C5" s="64"/>
      <c r="D5" s="64"/>
      <c r="E5" s="64"/>
      <c r="F5" s="64"/>
      <c r="G5" s="64"/>
      <c r="H5" s="64"/>
      <c r="I5" s="69"/>
    </row>
    <row r="6" spans="1:9" x14ac:dyDescent="0.25">
      <c r="A6" s="65" t="s">
        <v>11</v>
      </c>
      <c r="B6" s="64"/>
      <c r="C6" s="67" t="str">
        <f>'Stavební rozpočet'!C6</f>
        <v>Brantice</v>
      </c>
      <c r="D6" s="64"/>
      <c r="E6" s="67" t="s">
        <v>14</v>
      </c>
      <c r="F6" s="67" t="str">
        <f>'Stavební rozpočet'!I6</f>
        <v> </v>
      </c>
      <c r="G6" s="64"/>
      <c r="H6" s="67" t="s">
        <v>192</v>
      </c>
      <c r="I6" s="69" t="s">
        <v>47</v>
      </c>
    </row>
    <row r="7" spans="1:9" ht="15" customHeight="1" x14ac:dyDescent="0.25">
      <c r="A7" s="63"/>
      <c r="B7" s="64"/>
      <c r="C7" s="64"/>
      <c r="D7" s="64"/>
      <c r="E7" s="64"/>
      <c r="F7" s="64"/>
      <c r="G7" s="64"/>
      <c r="H7" s="64"/>
      <c r="I7" s="69"/>
    </row>
    <row r="8" spans="1:9" x14ac:dyDescent="0.25">
      <c r="A8" s="65" t="s">
        <v>9</v>
      </c>
      <c r="B8" s="64"/>
      <c r="C8" s="67">
        <f>'Stavební rozpočet'!G4</f>
        <v>0</v>
      </c>
      <c r="D8" s="64"/>
      <c r="E8" s="67" t="s">
        <v>13</v>
      </c>
      <c r="F8" s="67" t="str">
        <f>'Stavební rozpočet'!G6</f>
        <v xml:space="preserve"> </v>
      </c>
      <c r="G8" s="64"/>
      <c r="H8" s="64" t="s">
        <v>193</v>
      </c>
      <c r="I8" s="70">
        <v>34</v>
      </c>
    </row>
    <row r="9" spans="1:9" x14ac:dyDescent="0.25">
      <c r="A9" s="63"/>
      <c r="B9" s="64"/>
      <c r="C9" s="64"/>
      <c r="D9" s="64"/>
      <c r="E9" s="64"/>
      <c r="F9" s="64"/>
      <c r="G9" s="64"/>
      <c r="H9" s="64"/>
      <c r="I9" s="69"/>
    </row>
    <row r="10" spans="1:9" x14ac:dyDescent="0.25">
      <c r="A10" s="65" t="s">
        <v>15</v>
      </c>
      <c r="B10" s="64"/>
      <c r="C10" s="67" t="str">
        <f>'Stavební rozpočet'!C8</f>
        <v xml:space="preserve"> </v>
      </c>
      <c r="D10" s="64"/>
      <c r="E10" s="67" t="s">
        <v>17</v>
      </c>
      <c r="F10" s="67" t="str">
        <f>'Stavební rozpočet'!I8</f>
        <v> </v>
      </c>
      <c r="G10" s="64"/>
      <c r="H10" s="64" t="s">
        <v>194</v>
      </c>
      <c r="I10" s="75">
        <f>'Stavební rozpočet'!G8</f>
        <v>0</v>
      </c>
    </row>
    <row r="11" spans="1:9" x14ac:dyDescent="0.25">
      <c r="A11" s="80"/>
      <c r="B11" s="74"/>
      <c r="C11" s="74"/>
      <c r="D11" s="74"/>
      <c r="E11" s="74"/>
      <c r="F11" s="74"/>
      <c r="G11" s="74"/>
      <c r="H11" s="74"/>
      <c r="I11" s="76"/>
    </row>
    <row r="13" spans="1:9" ht="15.75" x14ac:dyDescent="0.25">
      <c r="A13" s="127" t="s">
        <v>236</v>
      </c>
      <c r="B13" s="127"/>
      <c r="C13" s="127"/>
      <c r="D13" s="127"/>
      <c r="E13" s="127"/>
    </row>
    <row r="14" spans="1:9" x14ac:dyDescent="0.25">
      <c r="A14" s="128" t="s">
        <v>237</v>
      </c>
      <c r="B14" s="129"/>
      <c r="C14" s="129"/>
      <c r="D14" s="129"/>
      <c r="E14" s="130"/>
      <c r="F14" s="51" t="s">
        <v>238</v>
      </c>
      <c r="G14" s="51" t="s">
        <v>79</v>
      </c>
      <c r="H14" s="51" t="s">
        <v>239</v>
      </c>
      <c r="I14" s="51" t="s">
        <v>238</v>
      </c>
    </row>
    <row r="15" spans="1:9" x14ac:dyDescent="0.25">
      <c r="A15" s="131" t="s">
        <v>204</v>
      </c>
      <c r="B15" s="132"/>
      <c r="C15" s="132"/>
      <c r="D15" s="132"/>
      <c r="E15" s="133"/>
      <c r="F15" s="52">
        <v>0</v>
      </c>
      <c r="G15" s="53" t="s">
        <v>47</v>
      </c>
      <c r="H15" s="53" t="s">
        <v>47</v>
      </c>
      <c r="I15" s="52">
        <f>F15</f>
        <v>0</v>
      </c>
    </row>
    <row r="16" spans="1:9" x14ac:dyDescent="0.25">
      <c r="A16" s="131" t="s">
        <v>206</v>
      </c>
      <c r="B16" s="132"/>
      <c r="C16" s="132"/>
      <c r="D16" s="132"/>
      <c r="E16" s="133"/>
      <c r="F16" s="52">
        <v>0</v>
      </c>
      <c r="G16" s="53" t="s">
        <v>47</v>
      </c>
      <c r="H16" s="53" t="s">
        <v>47</v>
      </c>
      <c r="I16" s="52">
        <f>F16</f>
        <v>0</v>
      </c>
    </row>
    <row r="17" spans="1:9" x14ac:dyDescent="0.25">
      <c r="A17" s="134" t="s">
        <v>209</v>
      </c>
      <c r="B17" s="135"/>
      <c r="C17" s="135"/>
      <c r="D17" s="135"/>
      <c r="E17" s="136"/>
      <c r="F17" s="54">
        <v>0</v>
      </c>
      <c r="G17" s="55" t="s">
        <v>47</v>
      </c>
      <c r="H17" s="55" t="s">
        <v>47</v>
      </c>
      <c r="I17" s="54">
        <f>F17</f>
        <v>0</v>
      </c>
    </row>
    <row r="18" spans="1:9" x14ac:dyDescent="0.25">
      <c r="A18" s="137" t="s">
        <v>240</v>
      </c>
      <c r="B18" s="138"/>
      <c r="C18" s="138"/>
      <c r="D18" s="138"/>
      <c r="E18" s="139"/>
      <c r="F18" s="56" t="s">
        <v>47</v>
      </c>
      <c r="G18" s="57" t="s">
        <v>47</v>
      </c>
      <c r="H18" s="57" t="s">
        <v>47</v>
      </c>
      <c r="I18" s="58">
        <f>SUM(I15:I17)</f>
        <v>0</v>
      </c>
    </row>
    <row r="20" spans="1:9" x14ac:dyDescent="0.25">
      <c r="A20" s="128" t="s">
        <v>201</v>
      </c>
      <c r="B20" s="129"/>
      <c r="C20" s="129"/>
      <c r="D20" s="129"/>
      <c r="E20" s="130"/>
      <c r="F20" s="51" t="s">
        <v>238</v>
      </c>
      <c r="G20" s="51" t="s">
        <v>79</v>
      </c>
      <c r="H20" s="51" t="s">
        <v>239</v>
      </c>
      <c r="I20" s="51" t="s">
        <v>238</v>
      </c>
    </row>
    <row r="21" spans="1:9" x14ac:dyDescent="0.25">
      <c r="A21" s="131" t="s">
        <v>205</v>
      </c>
      <c r="B21" s="132"/>
      <c r="C21" s="132"/>
      <c r="D21" s="132"/>
      <c r="E21" s="133"/>
      <c r="F21" s="53" t="s">
        <v>47</v>
      </c>
      <c r="G21" s="52">
        <v>2.9</v>
      </c>
      <c r="H21" s="52">
        <f>'Krycí list rozpočtu'!C22</f>
        <v>0</v>
      </c>
      <c r="I21" s="52">
        <f>ROUND((G21/100)*H21,2)</f>
        <v>0</v>
      </c>
    </row>
    <row r="22" spans="1:9" x14ac:dyDescent="0.25">
      <c r="A22" s="131" t="s">
        <v>207</v>
      </c>
      <c r="B22" s="132"/>
      <c r="C22" s="132"/>
      <c r="D22" s="132"/>
      <c r="E22" s="133"/>
      <c r="F22" s="52">
        <v>0</v>
      </c>
      <c r="G22" s="53" t="s">
        <v>47</v>
      </c>
      <c r="H22" s="53" t="s">
        <v>47</v>
      </c>
      <c r="I22" s="52">
        <f>F22</f>
        <v>0</v>
      </c>
    </row>
    <row r="23" spans="1:9" x14ac:dyDescent="0.25">
      <c r="A23" s="131" t="s">
        <v>210</v>
      </c>
      <c r="B23" s="132"/>
      <c r="C23" s="132"/>
      <c r="D23" s="132"/>
      <c r="E23" s="133"/>
      <c r="F23" s="52">
        <v>0</v>
      </c>
      <c r="G23" s="53" t="s">
        <v>47</v>
      </c>
      <c r="H23" s="53" t="s">
        <v>47</v>
      </c>
      <c r="I23" s="52">
        <f>F23</f>
        <v>0</v>
      </c>
    </row>
    <row r="24" spans="1:9" x14ac:dyDescent="0.25">
      <c r="A24" s="131" t="s">
        <v>211</v>
      </c>
      <c r="B24" s="132"/>
      <c r="C24" s="132"/>
      <c r="D24" s="132"/>
      <c r="E24" s="133"/>
      <c r="F24" s="52">
        <v>0</v>
      </c>
      <c r="G24" s="53" t="s">
        <v>47</v>
      </c>
      <c r="H24" s="53" t="s">
        <v>47</v>
      </c>
      <c r="I24" s="52">
        <f>F24</f>
        <v>0</v>
      </c>
    </row>
    <row r="25" spans="1:9" x14ac:dyDescent="0.25">
      <c r="A25" s="131" t="s">
        <v>213</v>
      </c>
      <c r="B25" s="132"/>
      <c r="C25" s="132"/>
      <c r="D25" s="132"/>
      <c r="E25" s="133"/>
      <c r="F25" s="52">
        <v>0</v>
      </c>
      <c r="G25" s="53" t="s">
        <v>47</v>
      </c>
      <c r="H25" s="53" t="s">
        <v>47</v>
      </c>
      <c r="I25" s="52">
        <f>F25</f>
        <v>0</v>
      </c>
    </row>
    <row r="26" spans="1:9" x14ac:dyDescent="0.25">
      <c r="A26" s="134" t="s">
        <v>214</v>
      </c>
      <c r="B26" s="135"/>
      <c r="C26" s="135"/>
      <c r="D26" s="135"/>
      <c r="E26" s="136"/>
      <c r="F26" s="54">
        <v>0</v>
      </c>
      <c r="G26" s="55" t="s">
        <v>47</v>
      </c>
      <c r="H26" s="55" t="s">
        <v>47</v>
      </c>
      <c r="I26" s="54">
        <f>F26</f>
        <v>0</v>
      </c>
    </row>
    <row r="27" spans="1:9" x14ac:dyDescent="0.25">
      <c r="A27" s="137" t="s">
        <v>241</v>
      </c>
      <c r="B27" s="138"/>
      <c r="C27" s="138"/>
      <c r="D27" s="138"/>
      <c r="E27" s="139"/>
      <c r="F27" s="56" t="s">
        <v>47</v>
      </c>
      <c r="G27" s="57" t="s">
        <v>47</v>
      </c>
      <c r="H27" s="57" t="s">
        <v>47</v>
      </c>
      <c r="I27" s="58">
        <f>SUM(I21:I26)</f>
        <v>0</v>
      </c>
    </row>
    <row r="29" spans="1:9" ht="15.75" x14ac:dyDescent="0.25">
      <c r="A29" s="140" t="s">
        <v>242</v>
      </c>
      <c r="B29" s="141"/>
      <c r="C29" s="141"/>
      <c r="D29" s="141"/>
      <c r="E29" s="142"/>
      <c r="F29" s="143">
        <f>I18+I27</f>
        <v>0</v>
      </c>
      <c r="G29" s="144"/>
      <c r="H29" s="144"/>
      <c r="I29" s="145"/>
    </row>
    <row r="33" spans="1:9" ht="15.75" x14ac:dyDescent="0.25">
      <c r="A33" s="127" t="s">
        <v>243</v>
      </c>
      <c r="B33" s="127"/>
      <c r="C33" s="127"/>
      <c r="D33" s="127"/>
      <c r="E33" s="127"/>
    </row>
    <row r="34" spans="1:9" x14ac:dyDescent="0.25">
      <c r="A34" s="128" t="s">
        <v>244</v>
      </c>
      <c r="B34" s="129"/>
      <c r="C34" s="129"/>
      <c r="D34" s="129"/>
      <c r="E34" s="130"/>
      <c r="F34" s="51" t="s">
        <v>238</v>
      </c>
      <c r="G34" s="51" t="s">
        <v>79</v>
      </c>
      <c r="H34" s="51" t="s">
        <v>239</v>
      </c>
      <c r="I34" s="51" t="s">
        <v>238</v>
      </c>
    </row>
    <row r="35" spans="1:9" x14ac:dyDescent="0.25">
      <c r="A35" s="134" t="s">
        <v>47</v>
      </c>
      <c r="B35" s="135"/>
      <c r="C35" s="135"/>
      <c r="D35" s="135"/>
      <c r="E35" s="136"/>
      <c r="F35" s="54">
        <v>0</v>
      </c>
      <c r="G35" s="55" t="s">
        <v>47</v>
      </c>
      <c r="H35" s="55" t="s">
        <v>47</v>
      </c>
      <c r="I35" s="54">
        <f>F35</f>
        <v>0</v>
      </c>
    </row>
    <row r="36" spans="1:9" x14ac:dyDescent="0.25">
      <c r="A36" s="137" t="s">
        <v>245</v>
      </c>
      <c r="B36" s="138"/>
      <c r="C36" s="138"/>
      <c r="D36" s="138"/>
      <c r="E36" s="139"/>
      <c r="F36" s="56" t="s">
        <v>47</v>
      </c>
      <c r="G36" s="57" t="s">
        <v>47</v>
      </c>
      <c r="H36" s="57" t="s">
        <v>47</v>
      </c>
      <c r="I36" s="58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Worofková Veronika Ing.</cp:lastModifiedBy>
  <dcterms:created xsi:type="dcterms:W3CDTF">2021-06-10T20:06:38Z</dcterms:created>
  <dcterms:modified xsi:type="dcterms:W3CDTF">2025-11-10T13:22:28Z</dcterms:modified>
</cp:coreProperties>
</file>