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ska_PC\Desktop\SOP Pomezí nad Ohří\I_Analýza území\C\"/>
    </mc:Choice>
  </mc:AlternateContent>
  <bookViews>
    <workbookView xWindow="240" yWindow="45" windowWidth="21075" windowHeight="10560" tabRatio="770"/>
  </bookViews>
  <sheets>
    <sheet name="redukce návrhového deště" sheetId="45" r:id="rId1"/>
    <sheet name="vzorce" sheetId="7" r:id="rId2"/>
    <sheet name="(1)" sheetId="12" r:id="rId3"/>
    <sheet name="(2)" sheetId="13" r:id="rId4"/>
    <sheet name="(3)" sheetId="14" r:id="rId5"/>
    <sheet name="(4)" sheetId="15" r:id="rId6"/>
    <sheet name="(32)" sheetId="16" r:id="rId7"/>
    <sheet name="(5)" sheetId="17" r:id="rId8"/>
    <sheet name="(6)" sheetId="18" r:id="rId9"/>
    <sheet name="(7)" sheetId="19" r:id="rId10"/>
    <sheet name="(30)" sheetId="27" r:id="rId11"/>
    <sheet name="(8)" sheetId="20" r:id="rId12"/>
    <sheet name="(9)" sheetId="21" r:id="rId13"/>
    <sheet name="(10)" sheetId="22" r:id="rId14"/>
    <sheet name="(11)" sheetId="23" r:id="rId15"/>
    <sheet name="(12)" sheetId="24" r:id="rId16"/>
    <sheet name="(14)" sheetId="25" r:id="rId17"/>
    <sheet name="(31)" sheetId="26" r:id="rId18"/>
    <sheet name="přítok SRN" sheetId="44" r:id="rId19"/>
  </sheets>
  <definedNames>
    <definedName name="_xlnm.Print_Area" localSheetId="0">'redukce návrhového deště'!$A$1:$S$52</definedName>
  </definedNames>
  <calcPr calcId="152511"/>
</workbook>
</file>

<file path=xl/calcChain.xml><?xml version="1.0" encoding="utf-8"?>
<calcChain xmlns="http://schemas.openxmlformats.org/spreadsheetml/2006/main">
  <c r="M30" i="45" l="1"/>
  <c r="N29" i="45"/>
  <c r="N28" i="45"/>
  <c r="N27" i="45"/>
  <c r="N26" i="45"/>
  <c r="N25" i="45"/>
  <c r="N24" i="45"/>
  <c r="I24" i="45"/>
  <c r="K24" i="45" s="1"/>
  <c r="H24" i="45"/>
  <c r="N23" i="45"/>
  <c r="I23" i="45"/>
  <c r="K23" i="45" s="1"/>
  <c r="H23" i="45"/>
  <c r="N22" i="45"/>
  <c r="I22" i="45"/>
  <c r="K22" i="45" s="1"/>
  <c r="H22" i="45"/>
  <c r="N21" i="45"/>
  <c r="I21" i="45"/>
  <c r="K21" i="45" s="1"/>
  <c r="H21" i="45"/>
  <c r="Q20" i="45"/>
  <c r="R20" i="45" s="1"/>
  <c r="N20" i="45"/>
  <c r="H20" i="45"/>
  <c r="I20" i="45" s="1"/>
  <c r="N19" i="45"/>
  <c r="Q19" i="45" s="1"/>
  <c r="R19" i="45" s="1"/>
  <c r="H19" i="45"/>
  <c r="I19" i="45" s="1"/>
  <c r="N18" i="45"/>
  <c r="Q18" i="45" s="1"/>
  <c r="R18" i="45" s="1"/>
  <c r="I18" i="45"/>
  <c r="H18" i="45"/>
  <c r="Q17" i="45"/>
  <c r="R17" i="45" s="1"/>
  <c r="N17" i="45"/>
  <c r="Q16" i="45"/>
  <c r="R16" i="45" s="1"/>
  <c r="N16" i="45"/>
  <c r="Q15" i="45"/>
  <c r="R15" i="45" s="1"/>
  <c r="N15" i="45"/>
  <c r="Q14" i="45"/>
  <c r="R14" i="45" s="1"/>
  <c r="N14" i="45"/>
  <c r="Q13" i="45"/>
  <c r="R13" i="45" s="1"/>
  <c r="N13" i="45"/>
  <c r="Q12" i="45"/>
  <c r="R12" i="45" s="1"/>
  <c r="N12" i="45"/>
  <c r="Q11" i="45"/>
  <c r="R11" i="45" s="1"/>
  <c r="N11" i="45"/>
  <c r="Q10" i="45"/>
  <c r="R10" i="45" s="1"/>
  <c r="N10" i="45"/>
  <c r="Q9" i="45"/>
  <c r="R9" i="45" s="1"/>
  <c r="N9" i="45"/>
  <c r="Q8" i="45"/>
  <c r="R8" i="45" s="1"/>
  <c r="N8" i="45"/>
  <c r="Q7" i="45"/>
  <c r="R7" i="45" s="1"/>
  <c r="N7" i="45"/>
  <c r="Q6" i="45"/>
  <c r="R6" i="45" s="1"/>
  <c r="N6" i="45"/>
  <c r="Q5" i="45"/>
  <c r="N5" i="45"/>
  <c r="J19" i="45" l="1"/>
  <c r="K19" i="45"/>
  <c r="S18" i="45"/>
  <c r="S19" i="45"/>
  <c r="Q21" i="45"/>
  <c r="R21" i="45" s="1"/>
  <c r="Q22" i="45"/>
  <c r="R22" i="45" s="1"/>
  <c r="Q23" i="45"/>
  <c r="R23" i="45" s="1"/>
  <c r="Q24" i="45"/>
  <c r="R24" i="45" s="1"/>
  <c r="Q25" i="45"/>
  <c r="R25" i="45" s="1"/>
  <c r="Q26" i="45"/>
  <c r="R26" i="45" s="1"/>
  <c r="Q27" i="45"/>
  <c r="R27" i="45" s="1"/>
  <c r="Q28" i="45"/>
  <c r="R28" i="45" s="1"/>
  <c r="Q29" i="45"/>
  <c r="R29" i="45" s="1"/>
  <c r="R5" i="45"/>
  <c r="J21" i="45"/>
  <c r="J22" i="45"/>
  <c r="J23" i="45"/>
  <c r="J24" i="45"/>
  <c r="S5" i="45"/>
  <c r="S6" i="45"/>
  <c r="S7" i="45"/>
  <c r="S8" i="45"/>
  <c r="S9" i="45"/>
  <c r="S10" i="45"/>
  <c r="S11" i="45"/>
  <c r="S12" i="45"/>
  <c r="S13" i="45"/>
  <c r="S14" i="45"/>
  <c r="S15" i="45"/>
  <c r="S16" i="45"/>
  <c r="S17" i="45"/>
  <c r="S20" i="45"/>
  <c r="S21" i="45"/>
  <c r="S22" i="45"/>
  <c r="S23" i="45"/>
  <c r="S27" i="45"/>
  <c r="E18" i="44"/>
  <c r="E22" i="44"/>
  <c r="S26" i="45" l="1"/>
  <c r="S25" i="45"/>
  <c r="S28" i="45"/>
  <c r="S24" i="45"/>
  <c r="S29" i="45"/>
  <c r="P25" i="12"/>
  <c r="P17" i="27" l="1"/>
  <c r="P14" i="27" s="1"/>
  <c r="S14" i="27" s="1"/>
  <c r="V14" i="27" s="1"/>
  <c r="P16" i="27"/>
  <c r="E15" i="27"/>
  <c r="P11" i="27" s="1"/>
  <c r="S11" i="27" s="1"/>
  <c r="V11" i="27" s="1"/>
  <c r="P12" i="27"/>
  <c r="P9" i="27"/>
  <c r="P19" i="27" s="1"/>
  <c r="S19" i="27" s="1"/>
  <c r="V19" i="27" s="1"/>
  <c r="E8" i="27"/>
  <c r="P4" i="27"/>
  <c r="P5" i="27" s="1"/>
  <c r="E8" i="16"/>
  <c r="P7" i="27" l="1"/>
  <c r="P25" i="27"/>
  <c r="S25" i="27" s="1"/>
  <c r="S9" i="27"/>
  <c r="V9" i="27" s="1"/>
  <c r="P9" i="12"/>
  <c r="P7" i="12"/>
  <c r="P5" i="12"/>
  <c r="P4" i="12"/>
  <c r="P16" i="26" l="1"/>
  <c r="P17" i="26" s="1"/>
  <c r="P14" i="26" s="1"/>
  <c r="S14" i="26" s="1"/>
  <c r="V14" i="26" s="1"/>
  <c r="E15" i="26"/>
  <c r="P12" i="26"/>
  <c r="P11" i="26" s="1"/>
  <c r="S11" i="26" s="1"/>
  <c r="V11" i="26" s="1"/>
  <c r="P9" i="26"/>
  <c r="E8" i="26"/>
  <c r="P4" i="26"/>
  <c r="P5" i="26" s="1"/>
  <c r="P16" i="25"/>
  <c r="P17" i="25" s="1"/>
  <c r="P14" i="25" s="1"/>
  <c r="S14" i="25" s="1"/>
  <c r="V14" i="25" s="1"/>
  <c r="E15" i="25"/>
  <c r="P12" i="25"/>
  <c r="P9" i="25"/>
  <c r="E8" i="25"/>
  <c r="P4" i="25"/>
  <c r="P5" i="25" s="1"/>
  <c r="P16" i="24"/>
  <c r="P17" i="24" s="1"/>
  <c r="P14" i="24" s="1"/>
  <c r="E15" i="24"/>
  <c r="P12" i="24"/>
  <c r="P9" i="24"/>
  <c r="S9" i="24" s="1"/>
  <c r="V9" i="24" s="1"/>
  <c r="E8" i="24"/>
  <c r="P5" i="24"/>
  <c r="P4" i="24"/>
  <c r="P4" i="23"/>
  <c r="P5" i="23" s="1"/>
  <c r="P16" i="23"/>
  <c r="P17" i="23" s="1"/>
  <c r="P14" i="23" s="1"/>
  <c r="S14" i="23" s="1"/>
  <c r="V14" i="23" s="1"/>
  <c r="E15" i="23"/>
  <c r="P12" i="23"/>
  <c r="P9" i="23"/>
  <c r="E8" i="23"/>
  <c r="P16" i="22"/>
  <c r="P17" i="22" s="1"/>
  <c r="P14" i="22" s="1"/>
  <c r="S14" i="22" s="1"/>
  <c r="V14" i="22" s="1"/>
  <c r="E15" i="22"/>
  <c r="P12" i="22"/>
  <c r="P9" i="22"/>
  <c r="S9" i="22" s="1"/>
  <c r="V9" i="22" s="1"/>
  <c r="E8" i="22"/>
  <c r="P4" i="22"/>
  <c r="P5" i="22" s="1"/>
  <c r="P16" i="21"/>
  <c r="P17" i="21" s="1"/>
  <c r="P14" i="21" s="1"/>
  <c r="S14" i="21" s="1"/>
  <c r="V14" i="21" s="1"/>
  <c r="E15" i="21"/>
  <c r="P11" i="21" s="1"/>
  <c r="S11" i="21" s="1"/>
  <c r="V11" i="21" s="1"/>
  <c r="P12" i="21"/>
  <c r="P9" i="21"/>
  <c r="S9" i="21" s="1"/>
  <c r="V9" i="21" s="1"/>
  <c r="E8" i="21"/>
  <c r="P4" i="21"/>
  <c r="P5" i="21" s="1"/>
  <c r="P16" i="20"/>
  <c r="P17" i="20" s="1"/>
  <c r="P14" i="20" s="1"/>
  <c r="S14" i="20" s="1"/>
  <c r="V14" i="20" s="1"/>
  <c r="E15" i="20"/>
  <c r="P11" i="20" s="1"/>
  <c r="S11" i="20" s="1"/>
  <c r="V11" i="20" s="1"/>
  <c r="P12" i="20"/>
  <c r="P9" i="20"/>
  <c r="E8" i="20"/>
  <c r="P4" i="20"/>
  <c r="P5" i="20" s="1"/>
  <c r="P16" i="19"/>
  <c r="P17" i="19" s="1"/>
  <c r="P14" i="19" s="1"/>
  <c r="S14" i="19" s="1"/>
  <c r="V14" i="19" s="1"/>
  <c r="E15" i="19"/>
  <c r="P12" i="19"/>
  <c r="P9" i="19"/>
  <c r="E8" i="19"/>
  <c r="P4" i="19"/>
  <c r="P5" i="19" s="1"/>
  <c r="P7" i="19" s="1"/>
  <c r="P16" i="18"/>
  <c r="P17" i="18" s="1"/>
  <c r="P14" i="18" s="1"/>
  <c r="S14" i="18" s="1"/>
  <c r="V14" i="18" s="1"/>
  <c r="E15" i="18"/>
  <c r="P12" i="18"/>
  <c r="P9" i="18"/>
  <c r="S9" i="18" s="1"/>
  <c r="V9" i="18" s="1"/>
  <c r="E8" i="18"/>
  <c r="P4" i="18"/>
  <c r="P5" i="18" s="1"/>
  <c r="P16" i="17"/>
  <c r="P17" i="17" s="1"/>
  <c r="P14" i="17" s="1"/>
  <c r="S14" i="17" s="1"/>
  <c r="V14" i="17" s="1"/>
  <c r="E15" i="17"/>
  <c r="P12" i="17"/>
  <c r="P11" i="17" s="1"/>
  <c r="S11" i="17" s="1"/>
  <c r="V11" i="17" s="1"/>
  <c r="P9" i="17"/>
  <c r="E8" i="17"/>
  <c r="P4" i="17"/>
  <c r="P5" i="17" s="1"/>
  <c r="P7" i="17" s="1"/>
  <c r="P16" i="16"/>
  <c r="P17" i="16" s="1"/>
  <c r="P14" i="16" s="1"/>
  <c r="S14" i="16" s="1"/>
  <c r="V14" i="16" s="1"/>
  <c r="P12" i="16"/>
  <c r="P11" i="16" s="1"/>
  <c r="S11" i="16" s="1"/>
  <c r="V11" i="16" s="1"/>
  <c r="P9" i="16"/>
  <c r="P4" i="16"/>
  <c r="P5" i="16" s="1"/>
  <c r="P16" i="15"/>
  <c r="P17" i="15" s="1"/>
  <c r="P14" i="15" s="1"/>
  <c r="S14" i="15" s="1"/>
  <c r="V14" i="15" s="1"/>
  <c r="E15" i="15"/>
  <c r="P12" i="15"/>
  <c r="P9" i="15"/>
  <c r="E8" i="15"/>
  <c r="P4" i="15"/>
  <c r="P5" i="15" s="1"/>
  <c r="P16" i="14"/>
  <c r="P17" i="14" s="1"/>
  <c r="P14" i="14" s="1"/>
  <c r="S14" i="14" s="1"/>
  <c r="V14" i="14" s="1"/>
  <c r="E15" i="14"/>
  <c r="P12" i="14"/>
  <c r="P9" i="14"/>
  <c r="E8" i="14"/>
  <c r="P4" i="14"/>
  <c r="P5" i="14" s="1"/>
  <c r="P25" i="19" l="1"/>
  <c r="S25" i="19" s="1"/>
  <c r="P11" i="19"/>
  <c r="S11" i="19" s="1"/>
  <c r="V11" i="19" s="1"/>
  <c r="P7" i="14"/>
  <c r="P19" i="26"/>
  <c r="S19" i="26" s="1"/>
  <c r="V19" i="26" s="1"/>
  <c r="P25" i="26"/>
  <c r="S25" i="26" s="1"/>
  <c r="P7" i="26"/>
  <c r="S9" i="26"/>
  <c r="V9" i="26" s="1"/>
  <c r="P11" i="25"/>
  <c r="S11" i="25" s="1"/>
  <c r="V11" i="25" s="1"/>
  <c r="P19" i="25"/>
  <c r="S19" i="25" s="1"/>
  <c r="V19" i="25" s="1"/>
  <c r="P25" i="25"/>
  <c r="S25" i="25" s="1"/>
  <c r="P7" i="25"/>
  <c r="S9" i="25"/>
  <c r="V9" i="25" s="1"/>
  <c r="P11" i="24"/>
  <c r="S11" i="24" s="1"/>
  <c r="V11" i="24" s="1"/>
  <c r="P25" i="24"/>
  <c r="S25" i="24" s="1"/>
  <c r="S14" i="24"/>
  <c r="V14" i="24" s="1"/>
  <c r="P7" i="24"/>
  <c r="P11" i="23"/>
  <c r="S11" i="23" s="1"/>
  <c r="V11" i="23" s="1"/>
  <c r="P25" i="23"/>
  <c r="S25" i="23" s="1"/>
  <c r="P7" i="23"/>
  <c r="S9" i="23"/>
  <c r="V9" i="23" s="1"/>
  <c r="P11" i="22"/>
  <c r="S11" i="22" s="1"/>
  <c r="V11" i="22" s="1"/>
  <c r="P25" i="22"/>
  <c r="S25" i="22" s="1"/>
  <c r="P25" i="21"/>
  <c r="S25" i="21" s="1"/>
  <c r="P7" i="22"/>
  <c r="P19" i="21"/>
  <c r="S19" i="21" s="1"/>
  <c r="V19" i="21" s="1"/>
  <c r="P7" i="21"/>
  <c r="P7" i="20"/>
  <c r="P25" i="20"/>
  <c r="S25" i="20" s="1"/>
  <c r="P19" i="20"/>
  <c r="S19" i="20" s="1"/>
  <c r="V19" i="20" s="1"/>
  <c r="S9" i="20"/>
  <c r="V9" i="20" s="1"/>
  <c r="P19" i="19"/>
  <c r="S19" i="19" s="1"/>
  <c r="V19" i="19" s="1"/>
  <c r="S9" i="19"/>
  <c r="V9" i="19" s="1"/>
  <c r="P11" i="18"/>
  <c r="S11" i="18" s="1"/>
  <c r="V11" i="18" s="1"/>
  <c r="P25" i="18"/>
  <c r="S25" i="18" s="1"/>
  <c r="P19" i="18"/>
  <c r="S19" i="18" s="1"/>
  <c r="V19" i="18" s="1"/>
  <c r="P7" i="18"/>
  <c r="P25" i="17"/>
  <c r="S25" i="17" s="1"/>
  <c r="P19" i="17"/>
  <c r="S19" i="17" s="1"/>
  <c r="V19" i="17" s="1"/>
  <c r="S9" i="17"/>
  <c r="V9" i="17" s="1"/>
  <c r="P11" i="15"/>
  <c r="S11" i="15" s="1"/>
  <c r="V11" i="15" s="1"/>
  <c r="P19" i="16"/>
  <c r="S19" i="16" s="1"/>
  <c r="V19" i="16" s="1"/>
  <c r="P7" i="16"/>
  <c r="S9" i="16"/>
  <c r="V9" i="16" s="1"/>
  <c r="P25" i="16"/>
  <c r="S25" i="16" s="1"/>
  <c r="P7" i="15"/>
  <c r="S9" i="15"/>
  <c r="V9" i="15" s="1"/>
  <c r="P25" i="15"/>
  <c r="S25" i="15" s="1"/>
  <c r="P11" i="14"/>
  <c r="S11" i="14" s="1"/>
  <c r="V11" i="14" s="1"/>
  <c r="P25" i="14"/>
  <c r="S25" i="14" s="1"/>
  <c r="S9" i="14"/>
  <c r="V9" i="14" s="1"/>
  <c r="E15" i="13"/>
  <c r="P17" i="13"/>
  <c r="P14" i="13" s="1"/>
  <c r="S14" i="13" s="1"/>
  <c r="V14" i="13" s="1"/>
  <c r="P16" i="13"/>
  <c r="P12" i="13"/>
  <c r="P11" i="13"/>
  <c r="S11" i="13" s="1"/>
  <c r="V11" i="13" s="1"/>
  <c r="P9" i="13"/>
  <c r="S9" i="13" s="1"/>
  <c r="V9" i="13" s="1"/>
  <c r="E8" i="13"/>
  <c r="P4" i="13"/>
  <c r="P5" i="13" s="1"/>
  <c r="P7" i="13" s="1"/>
  <c r="P19" i="14" l="1"/>
  <c r="S19" i="14" s="1"/>
  <c r="V19" i="14" s="1"/>
  <c r="P19" i="15"/>
  <c r="S19" i="15" s="1"/>
  <c r="V19" i="15" s="1"/>
  <c r="P19" i="23"/>
  <c r="S19" i="23" s="1"/>
  <c r="V19" i="23" s="1"/>
  <c r="P19" i="24"/>
  <c r="S19" i="24" s="1"/>
  <c r="V19" i="24" s="1"/>
  <c r="P19" i="22"/>
  <c r="S19" i="22" s="1"/>
  <c r="V19" i="22" s="1"/>
  <c r="P19" i="13"/>
  <c r="S19" i="13" s="1"/>
  <c r="V19" i="13" s="1"/>
  <c r="P25" i="13"/>
  <c r="S25" i="13" s="1"/>
  <c r="P16" i="12"/>
  <c r="P17" i="12" s="1"/>
  <c r="P14" i="12" s="1"/>
  <c r="P12" i="12"/>
  <c r="P11" i="12" s="1"/>
  <c r="E8" i="12"/>
  <c r="P19" i="12" l="1"/>
  <c r="S25" i="12"/>
  <c r="S9" i="12" l="1"/>
  <c r="V9" i="12" s="1"/>
  <c r="S19" i="12" l="1"/>
  <c r="V19" i="12" s="1"/>
  <c r="S14" i="12" l="1"/>
  <c r="V14" i="12" s="1"/>
  <c r="S11" i="12"/>
  <c r="V11" i="12" s="1"/>
</calcChain>
</file>

<file path=xl/comments1.xml><?xml version="1.0" encoding="utf-8"?>
<comments xmlns="http://schemas.openxmlformats.org/spreadsheetml/2006/main">
  <authors>
    <author>Kouřík Libor</author>
  </authors>
  <commentList>
    <comment ref="C1" authorId="0" shapeId="0">
      <text>
        <r>
          <rPr>
            <b/>
            <sz val="9"/>
            <color indexed="81"/>
            <rFont val="Tahoma"/>
            <family val="2"/>
            <charset val="238"/>
          </rPr>
          <t>Kouřík Libor:</t>
        </r>
        <r>
          <rPr>
            <sz val="9"/>
            <color indexed="81"/>
            <rFont val="Tahoma"/>
            <family val="2"/>
            <charset val="238"/>
          </rPr>
          <t xml:space="preserve">
neměla by být plocha zmenšena? proč i pole nad tratí?</t>
        </r>
      </text>
    </comment>
  </commentList>
</comments>
</file>

<file path=xl/sharedStrings.xml><?xml version="1.0" encoding="utf-8"?>
<sst xmlns="http://schemas.openxmlformats.org/spreadsheetml/2006/main" count="1766" uniqueCount="190">
  <si>
    <t>kde:</t>
  </si>
  <si>
    <t>Výpočet:</t>
  </si>
  <si>
    <t>P =</t>
  </si>
  <si>
    <t>m</t>
  </si>
  <si>
    <t>=</t>
  </si>
  <si>
    <t>s</t>
  </si>
  <si>
    <t>Výpočet přímého odtoku: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</si>
  <si>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… přímý odtok (mm)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</si>
  <si>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 xml:space="preserve"> … úhrn přívalové návrhové srážky (mm)</t>
    </r>
  </si>
  <si>
    <t>A … potenciální retence</t>
  </si>
  <si>
    <t>Potenciální retence:</t>
  </si>
  <si>
    <t>CN … čísla odtokových křivek</t>
  </si>
  <si>
    <t>Objem přímého odtoku:</t>
  </si>
  <si>
    <r>
      <t>O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objem přímého odtoku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</si>
  <si>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P … plocha povodí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</si>
  <si>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Kulminační průtok: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</si>
  <si>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</si>
  <si>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mm</t>
  </si>
  <si>
    <t>Číslo odtokové křivky</t>
  </si>
  <si>
    <t>CN =</t>
  </si>
  <si>
    <t>Potenciální retence</t>
  </si>
  <si>
    <t>A =</t>
  </si>
  <si>
    <t>Přímý odtok</t>
  </si>
  <si>
    <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</si>
  <si>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Objem přímého odtoku</t>
  </si>
  <si>
    <r>
      <t>O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</si>
  <si>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</si>
  <si>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objem kulminačního průtoku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/s)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</si>
  <si>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 … plocha povodí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</si>
  <si>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… výška odtoku (mm)</t>
    </r>
  </si>
  <si>
    <t>f … opravný součinitel pro rybníky a mokřady</t>
  </si>
  <si>
    <t>Způsob stanovení objemu povrchového odtoku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</si>
  <si>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jednotkový kulminační průtok stanovený na základě doby koncentrace,</t>
    </r>
  </si>
  <si>
    <t>úhrnu návrhového deště a potenciální retence (viz dále)</t>
  </si>
  <si>
    <t>Stanovení doby koncentrace</t>
  </si>
  <si>
    <t>Pro výpočet objemu povrchového odtoku byla použita metoda CN křivek</t>
  </si>
  <si>
    <t>Plošný (svahový) povrchový odtok kratší než 100 m:</t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</si>
  <si>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ta</t>
    </r>
    <r>
      <rPr>
        <sz val="11"/>
        <color theme="1"/>
        <rFont val="Calibri"/>
        <family val="2"/>
        <charset val="238"/>
        <scheme val="minor"/>
      </rPr>
      <t xml:space="preserve"> … doba doběhu (h)</t>
    </r>
  </si>
  <si>
    <t>n … Manningův součinitel drsnosti</t>
  </si>
  <si>
    <t>l … délka poudění (m)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</si>
  <si>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s2</t>
    </r>
    <r>
      <rPr>
        <sz val="11"/>
        <color theme="1"/>
        <rFont val="Calibri"/>
        <family val="2"/>
        <charset val="238"/>
        <scheme val="minor"/>
      </rPr>
      <t xml:space="preserve"> … úhrn 24 hod. deště s dobou opakování 2 roky (mm)</t>
    </r>
  </si>
  <si>
    <t>s … hydraulický sklon povrchu (m/m)</t>
  </si>
  <si>
    <t>Soustředěný odtok v malé hloubce:</t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</si>
  <si>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tb</t>
    </r>
    <r>
      <rPr>
        <sz val="11"/>
        <color theme="1"/>
        <rFont val="Calibri"/>
        <family val="2"/>
        <charset val="238"/>
        <scheme val="minor"/>
      </rPr>
      <t xml:space="preserve"> … doba doběhu (h)</t>
    </r>
  </si>
  <si>
    <t>l … délka proudění (m)</t>
  </si>
  <si>
    <t>v … průměrná rychlost (m/s)</t>
  </si>
  <si>
    <t xml:space="preserve"> - nezpevněný povrch</t>
  </si>
  <si>
    <r>
      <t>v = 4.918 . s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</si>
  <si>
    <r>
      <t>v = 6.196 . s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</si>
  <si>
    <t>s … sklon odtokového prvku</t>
  </si>
  <si>
    <t>Otevřené koryto</t>
  </si>
  <si>
    <t>Otevřené koryto:</t>
  </si>
  <si>
    <t>R … hydraulický poloměr (m), R= S/O</t>
  </si>
  <si>
    <t>S … plocha příčného profilu</t>
  </si>
  <si>
    <t>O … omočený obvod (m)</t>
  </si>
  <si>
    <t>n … Manningův drsnostní součinitel</t>
  </si>
  <si>
    <t>s … sklon koryta toku</t>
  </si>
  <si>
    <t>Doba koncentrace:</t>
  </si>
  <si>
    <t>Zvolený profil:</t>
  </si>
  <si>
    <t>KP1</t>
  </si>
  <si>
    <t>Úhrn návrhovéh deště</t>
  </si>
  <si>
    <t>Výpočtové parametry:</t>
  </si>
  <si>
    <t>Přispívající plocha</t>
  </si>
  <si>
    <r>
      <t>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</si>
  <si>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Hydraulická délka povodí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</si>
  <si>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</si>
  <si>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Doba doběhu plošného p.o.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</si>
  <si>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ta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</si>
  <si>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Délka proudění (plocha)</t>
  </si>
  <si>
    <t>Délka proudění (soustředěný, malá hloubka)</t>
  </si>
  <si>
    <t>Délka proudění (koryto)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</si>
  <si>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1 </t>
    </r>
    <r>
      <rPr>
        <sz val="11"/>
        <color theme="1"/>
        <rFont val="Calibri"/>
        <family val="2"/>
        <charset val="238"/>
        <scheme val="minor"/>
      </rPr>
      <t>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</si>
  <si>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</si>
  <si>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3 </t>
    </r>
    <r>
      <rPr>
        <sz val="11"/>
        <color theme="1"/>
        <rFont val="Calibri"/>
        <family val="2"/>
        <charset val="238"/>
        <scheme val="minor"/>
      </rPr>
      <t>=</t>
    </r>
  </si>
  <si>
    <t>Drsnost (plocha)</t>
  </si>
  <si>
    <t>Drsnost (koryto)</t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</si>
  <si>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1 </t>
    </r>
    <r>
      <rPr>
        <sz val="11"/>
        <color theme="1"/>
        <rFont val="Calibri"/>
        <family val="2"/>
        <charset val="238"/>
        <scheme val="minor"/>
      </rPr>
      <t>=</t>
    </r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</si>
  <si>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=</t>
    </r>
  </si>
  <si>
    <t>Sklon (plocha)</t>
  </si>
  <si>
    <t>Sklon prvku (soustředěný o., malá hloubka)</t>
  </si>
  <si>
    <t>Sklon koryta</t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</si>
  <si>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</si>
  <si>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</si>
  <si>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</si>
  <si>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h</t>
  </si>
  <si>
    <t>Úhrn 24hod deště T = 2 roky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</si>
  <si>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s2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</si>
  <si>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celk.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</si>
  <si>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m/m</t>
  </si>
  <si>
    <t>Soustředěný o. v malé hl.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</si>
  <si>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tb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</si>
  <si>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v =</t>
  </si>
  <si>
    <t>m/s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</si>
  <si>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tc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</si>
  <si>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Plocha př. profilu koryta</t>
  </si>
  <si>
    <t>Omočený obvod</t>
  </si>
  <si>
    <t>O =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</si>
  <si>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</si>
  <si>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 =</t>
  </si>
  <si>
    <t>Hydraulický poloměr</t>
  </si>
  <si>
    <t>Doba koncentrace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</si>
  <si>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</si>
  <si>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r>
      <t>Poměr I</t>
    </r>
    <r>
      <rPr>
        <b/>
        <vertAlign val="subscript"/>
        <sz val="11"/>
        <color theme="1"/>
        <rFont val="Calibri"/>
        <family val="2"/>
        <charset val="238"/>
        <scheme val="minor"/>
      </rPr>
      <t>a</t>
    </r>
    <r>
      <rPr>
        <b/>
        <sz val="11"/>
        <color theme="1"/>
        <rFont val="Calibri"/>
        <family val="2"/>
        <charset val="238"/>
        <scheme val="minor"/>
      </rPr>
      <t xml:space="preserve"> / H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</si>
  <si>
    <t>Jednotkový kulm. průtok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</si>
  <si>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</si>
  <si>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Kulminanční průtok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</si>
  <si>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</si>
  <si>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Opravný součinitel</t>
  </si>
  <si>
    <t>f =</t>
  </si>
  <si>
    <t>Popis:</t>
  </si>
  <si>
    <t>Propustek pod železnicí, bloky OP "U nádraží"</t>
  </si>
  <si>
    <t>min</t>
  </si>
  <si>
    <t>l/s</t>
  </si>
  <si>
    <t>KP2</t>
  </si>
  <si>
    <t>Propustek pod polní cestou bloky OP "U nádraží"</t>
  </si>
  <si>
    <t>KP3</t>
  </si>
  <si>
    <t>KP4</t>
  </si>
  <si>
    <t>Propustek pod cestou, intravilán Pomezí nad Ohří</t>
  </si>
  <si>
    <t>KP5</t>
  </si>
  <si>
    <t>KP32</t>
  </si>
  <si>
    <t>Propustek pod tratí</t>
  </si>
  <si>
    <t>Koryto vodoteče vs. intravilán Pomezí nad Ohří</t>
  </si>
  <si>
    <t>KP6</t>
  </si>
  <si>
    <t>KP7</t>
  </si>
  <si>
    <t>KP8</t>
  </si>
  <si>
    <t>Propustky v zahradách + propustek pod silnicí č. 606, lokalita Podhoří</t>
  </si>
  <si>
    <t>KP9</t>
  </si>
  <si>
    <t>Vodoteč vs intravilán - lokalita Tůně</t>
  </si>
  <si>
    <t>KP10</t>
  </si>
  <si>
    <t>Lesní Mlýn</t>
  </si>
  <si>
    <t>KP11</t>
  </si>
  <si>
    <t>Drobná vodoteč u kempu, propustek</t>
  </si>
  <si>
    <t>KP12</t>
  </si>
  <si>
    <t>Propustek v obci Skalka</t>
  </si>
  <si>
    <t>KP14</t>
  </si>
  <si>
    <t>KP31</t>
  </si>
  <si>
    <t>Odtoková dráha vs. intravilán, lokalita Horní Pelhřimov</t>
  </si>
  <si>
    <t>Propustek pod tratí, Výhledský p.</t>
  </si>
  <si>
    <t>KP30</t>
  </si>
  <si>
    <t>Propustek pod tratí a cestou</t>
  </si>
  <si>
    <t>Příkopový propustek č.p.43, intravilán Pomezí n. O. + část lokality "U Nádraží"</t>
  </si>
  <si>
    <t>Výpočet množství vody přitékající ze SRN</t>
  </si>
  <si>
    <t>Odtokový poměrů v území se přímo dotýká přítok vod z Německé části povodí Výhledského potoka (1-13-01-011), leží zde cca 40% plochy jeho povodí.</t>
  </si>
  <si>
    <t>Průtoky byly vypočítány na základě podobnosti obou povodí dle poměrů povodí a kulminačních průtoků:</t>
  </si>
  <si>
    <r>
      <t>A</t>
    </r>
    <r>
      <rPr>
        <vertAlign val="subscript"/>
        <sz val="11"/>
        <color theme="1"/>
        <rFont val="Arial"/>
        <family val="2"/>
        <charset val="238"/>
      </rPr>
      <t>1</t>
    </r>
    <r>
      <rPr>
        <sz val="11"/>
        <color theme="1"/>
        <rFont val="Arial"/>
        <family val="2"/>
        <charset val="238"/>
      </rPr>
      <t>, A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…..</t>
    </r>
  </si>
  <si>
    <r>
      <t>plocha povodí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</si>
  <si>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Q</t>
    </r>
    <r>
      <rPr>
        <vertAlign val="subscript"/>
        <sz val="11"/>
        <color theme="1"/>
        <rFont val="Arial"/>
        <family val="2"/>
        <charset val="238"/>
      </rPr>
      <t>1</t>
    </r>
    <r>
      <rPr>
        <sz val="11"/>
        <color theme="1"/>
        <rFont val="Arial"/>
        <family val="2"/>
        <charset val="238"/>
      </rPr>
      <t>, Q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…..</t>
    </r>
  </si>
  <si>
    <r>
      <t>kulminační průtoky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/s)</t>
    </r>
  </si>
  <si>
    <t>Plocha povodí Výhledského p.</t>
  </si>
  <si>
    <t>A1 =</t>
  </si>
  <si>
    <t>km2</t>
  </si>
  <si>
    <t>Plocha povodí v SRN</t>
  </si>
  <si>
    <t xml:space="preserve">A2 = </t>
  </si>
  <si>
    <t>Kulminační průtok za celé povodí</t>
  </si>
  <si>
    <t>Q1 =</t>
  </si>
  <si>
    <t>Kulminační průtok za povodí v SRN</t>
  </si>
  <si>
    <t>Q2 =</t>
  </si>
  <si>
    <t>Propustek v obci Cetnov</t>
  </si>
  <si>
    <t>Redukce návrhového deště</t>
  </si>
  <si>
    <t>24 hodinové srážkové úhrny podle doby opakování</t>
  </si>
  <si>
    <t>čas [min]</t>
  </si>
  <si>
    <t>úhrn v kroku [mm]</t>
  </si>
  <si>
    <t>intenzita [mm/min]</t>
  </si>
  <si>
    <t>kumulativní úhrn [mm]</t>
  </si>
  <si>
    <t>N</t>
  </si>
  <si>
    <r>
      <t>H</t>
    </r>
    <r>
      <rPr>
        <b/>
        <vertAlign val="subscript"/>
        <sz val="10"/>
        <rFont val="Arial"/>
        <family val="2"/>
        <charset val="238"/>
      </rPr>
      <t xml:space="preserve"> 1d,N</t>
    </r>
  </si>
  <si>
    <r>
      <t>H</t>
    </r>
    <r>
      <rPr>
        <b/>
        <vertAlign val="subscript"/>
        <sz val="10"/>
        <rFont val="Arial"/>
        <family val="2"/>
        <charset val="238"/>
      </rPr>
      <t xml:space="preserve"> 120m,N</t>
    </r>
  </si>
  <si>
    <t>váhy</t>
  </si>
  <si>
    <t>N10</t>
  </si>
  <si>
    <t>[mm/24h]</t>
  </si>
  <si>
    <t>[mm]</t>
  </si>
  <si>
    <t>hodnoty parametrů</t>
  </si>
  <si>
    <t>10 - 40</t>
  </si>
  <si>
    <t>40 - 120</t>
  </si>
  <si>
    <t>120 - 1440</t>
  </si>
  <si>
    <t>doba trvání srážky:</t>
  </si>
  <si>
    <t>a</t>
  </si>
  <si>
    <t>1-c</t>
  </si>
  <si>
    <t>doba opakování</t>
  </si>
  <si>
    <t>redukční součinitel</t>
  </si>
  <si>
    <t>srážkový úhrn</t>
  </si>
  <si>
    <t>intenzita srážky</t>
  </si>
  <si>
    <t>vydatnost srážky</t>
  </si>
  <si>
    <t>c</t>
  </si>
  <si>
    <r>
      <t>ψ</t>
    </r>
    <r>
      <rPr>
        <b/>
        <vertAlign val="subscript"/>
        <sz val="10"/>
        <rFont val="Arial"/>
        <family val="2"/>
        <charset val="238"/>
      </rPr>
      <t xml:space="preserve"> t,N</t>
    </r>
  </si>
  <si>
    <r>
      <t>H</t>
    </r>
    <r>
      <rPr>
        <b/>
        <vertAlign val="subscript"/>
        <sz val="10"/>
        <rFont val="Arial"/>
        <family val="2"/>
        <charset val="238"/>
      </rPr>
      <t xml:space="preserve"> t,N</t>
    </r>
  </si>
  <si>
    <r>
      <t>r</t>
    </r>
    <r>
      <rPr>
        <b/>
        <vertAlign val="subscript"/>
        <sz val="10"/>
        <rFont val="Arial"/>
        <family val="2"/>
        <charset val="238"/>
      </rPr>
      <t xml:space="preserve"> t,N</t>
    </r>
  </si>
  <si>
    <t>[-]</t>
  </si>
  <si>
    <t>[mm/h]</t>
  </si>
  <si>
    <t>[l/s/ha]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</si>
</sst>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trike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vertAlign val="subscript"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/>
    <xf numFmtId="1" fontId="1" fillId="0" borderId="0" xfId="0" applyNumberFormat="1" applyFont="1"/>
    <xf numFmtId="2" fontId="1" fillId="0" borderId="0" xfId="0" applyNumberFormat="1" applyFont="1"/>
    <xf numFmtId="0" fontId="0" fillId="0" borderId="0" xfId="0" applyFont="1"/>
    <xf numFmtId="164" fontId="1" fillId="0" borderId="0" xfId="0" applyNumberFormat="1" applyFont="1"/>
    <xf numFmtId="0" fontId="8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Fill="1"/>
    <xf numFmtId="0" fontId="0" fillId="2" borderId="0" xfId="0" applyFill="1"/>
    <xf numFmtId="0" fontId="0" fillId="0" borderId="0" xfId="0" applyAlignment="1">
      <alignment horizontal="center"/>
    </xf>
    <xf numFmtId="1" fontId="0" fillId="2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2" fontId="1" fillId="0" borderId="0" xfId="0" applyNumberFormat="1" applyFont="1" applyAlignment="1">
      <alignment horizontal="center"/>
    </xf>
    <xf numFmtId="0" fontId="2" fillId="0" borderId="0" xfId="0" applyFont="1" applyFill="1"/>
    <xf numFmtId="164" fontId="1" fillId="2" borderId="0" xfId="0" applyNumberFormat="1" applyFont="1" applyFill="1"/>
    <xf numFmtId="0" fontId="1" fillId="2" borderId="0" xfId="0" applyFont="1" applyFill="1"/>
    <xf numFmtId="0" fontId="12" fillId="2" borderId="0" xfId="0" applyFont="1" applyFill="1"/>
    <xf numFmtId="164" fontId="0" fillId="0" borderId="0" xfId="0" applyNumberFormat="1" applyFill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2" fontId="0" fillId="0" borderId="0" xfId="0" applyNumberFormat="1"/>
    <xf numFmtId="0" fontId="15" fillId="0" borderId="0" xfId="0" applyFont="1" applyAlignment="1">
      <alignment horizontal="left"/>
    </xf>
    <xf numFmtId="165" fontId="16" fillId="0" borderId="0" xfId="0" applyNumberFormat="1" applyFont="1" applyBorder="1" applyAlignment="1">
      <alignment horizontal="center" vertical="top" wrapText="1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7" fillId="0" borderId="0" xfId="0" applyFont="1" applyAlignment="1">
      <alignment horizontal="left"/>
    </xf>
    <xf numFmtId="0" fontId="0" fillId="0" borderId="0" xfId="0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/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0" fillId="0" borderId="7" xfId="0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66" fontId="0" fillId="0" borderId="0" xfId="0" applyNumberFormat="1"/>
    <xf numFmtId="0" fontId="0" fillId="0" borderId="12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1" fontId="17" fillId="0" borderId="16" xfId="0" applyNumberFormat="1" applyFont="1" applyBorder="1" applyAlignment="1">
      <alignment horizontal="center"/>
    </xf>
    <xf numFmtId="165" fontId="19" fillId="0" borderId="14" xfId="0" applyNumberFormat="1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7" xfId="0" applyBorder="1" applyAlignment="1">
      <alignment horizontal="center"/>
    </xf>
    <xf numFmtId="2" fontId="0" fillId="0" borderId="18" xfId="0" applyNumberFormat="1" applyBorder="1" applyAlignment="1">
      <alignment horizontal="center"/>
    </xf>
    <xf numFmtId="1" fontId="17" fillId="0" borderId="19" xfId="0" applyNumberFormat="1" applyFont="1" applyBorder="1" applyAlignment="1">
      <alignment horizontal="center"/>
    </xf>
    <xf numFmtId="165" fontId="19" fillId="0" borderId="20" xfId="0" applyNumberFormat="1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7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65" fontId="19" fillId="0" borderId="9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49" fontId="17" fillId="0" borderId="0" xfId="0" applyNumberFormat="1" applyFont="1" applyAlignment="1">
      <alignment horizontal="center"/>
    </xf>
    <xf numFmtId="1" fontId="1" fillId="3" borderId="0" xfId="0" applyNumberFormat="1" applyFont="1" applyFill="1" applyAlignment="1">
      <alignment horizontal="center"/>
    </xf>
    <xf numFmtId="0" fontId="17" fillId="0" borderId="22" xfId="0" applyFont="1" applyBorder="1" applyAlignment="1">
      <alignment horizontal="center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center"/>
    </xf>
    <xf numFmtId="0" fontId="0" fillId="0" borderId="26" xfId="0" applyBorder="1"/>
    <xf numFmtId="1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17" fillId="0" borderId="27" xfId="0" applyFont="1" applyBorder="1" applyAlignment="1">
      <alignment horizontal="center"/>
    </xf>
    <xf numFmtId="0" fontId="0" fillId="0" borderId="27" xfId="0" applyBorder="1" applyAlignment="1">
      <alignment horizontal="right"/>
    </xf>
    <xf numFmtId="0" fontId="0" fillId="0" borderId="28" xfId="0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26" xfId="0" applyFont="1" applyFill="1" applyBorder="1" applyAlignment="1">
      <alignment horizontal="right"/>
    </xf>
    <xf numFmtId="164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7" fillId="0" borderId="19" xfId="0" applyFont="1" applyBorder="1" applyAlignment="1">
      <alignment horizontal="right"/>
    </xf>
    <xf numFmtId="164" fontId="0" fillId="0" borderId="20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0" fontId="1" fillId="0" borderId="19" xfId="0" applyFont="1" applyFill="1" applyBorder="1" applyAlignment="1">
      <alignment horizontal="right"/>
    </xf>
    <xf numFmtId="0" fontId="0" fillId="0" borderId="20" xfId="0" applyBorder="1"/>
    <xf numFmtId="0" fontId="0" fillId="0" borderId="18" xfId="0" applyBorder="1"/>
    <xf numFmtId="0" fontId="17" fillId="0" borderId="19" xfId="0" applyFont="1" applyBorder="1"/>
    <xf numFmtId="0" fontId="17" fillId="0" borderId="21" xfId="0" applyFont="1" applyBorder="1" applyAlignment="1">
      <alignment horizontal="right"/>
    </xf>
    <xf numFmtId="164" fontId="0" fillId="0" borderId="9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31" xfId="0" applyBorder="1"/>
    <xf numFmtId="2" fontId="0" fillId="0" borderId="31" xfId="0" applyNumberFormat="1" applyBorder="1" applyAlignment="1">
      <alignment horizontal="center"/>
    </xf>
    <xf numFmtId="0" fontId="20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/>
    </xf>
    <xf numFmtId="2" fontId="21" fillId="0" borderId="0" xfId="0" applyNumberFormat="1" applyFont="1" applyFill="1" applyBorder="1" applyAlignment="1">
      <alignment horizontal="center"/>
    </xf>
    <xf numFmtId="0" fontId="22" fillId="0" borderId="0" xfId="0" applyFont="1"/>
    <xf numFmtId="0" fontId="17" fillId="0" borderId="0" xfId="0" applyFont="1" applyAlignment="1">
      <alignment horizontal="right"/>
    </xf>
    <xf numFmtId="0" fontId="17" fillId="0" borderId="6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Srážkový úhrn a kumulace srážky v čase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Srážkový úhrn [mm]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'redukce návrhového deště'!$P$5:$P$29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cat>
          <c:val>
            <c:numRef>
              <c:f>'redukce návrhového deště'!$Q$5:$Q$29</c:f>
              <c:numCache>
                <c:formatCode>0.00</c:formatCode>
                <c:ptCount val="25"/>
                <c:pt idx="0">
                  <c:v>0.21421926958135426</c:v>
                </c:pt>
                <c:pt idx="1">
                  <c:v>0.42843853916270852</c:v>
                </c:pt>
                <c:pt idx="2">
                  <c:v>0.64265780874406286</c:v>
                </c:pt>
                <c:pt idx="3">
                  <c:v>0.85687707832541704</c:v>
                </c:pt>
                <c:pt idx="4">
                  <c:v>1.0710963479067712</c:v>
                </c:pt>
                <c:pt idx="5">
                  <c:v>1.2853156174881257</c:v>
                </c:pt>
                <c:pt idx="6">
                  <c:v>1.49953488706948</c:v>
                </c:pt>
                <c:pt idx="7">
                  <c:v>1.7137541566508341</c:v>
                </c:pt>
                <c:pt idx="8">
                  <c:v>1.9279734262321884</c:v>
                </c:pt>
                <c:pt idx="9">
                  <c:v>2.1421926958135424</c:v>
                </c:pt>
                <c:pt idx="10">
                  <c:v>2.3564119653948969</c:v>
                </c:pt>
                <c:pt idx="11">
                  <c:v>2.5706312349762515</c:v>
                </c:pt>
                <c:pt idx="12">
                  <c:v>2.7848505045576055</c:v>
                </c:pt>
                <c:pt idx="13">
                  <c:v>2.5706312349762515</c:v>
                </c:pt>
                <c:pt idx="14">
                  <c:v>2.3564119653948969</c:v>
                </c:pt>
                <c:pt idx="15">
                  <c:v>2.1421926958135424</c:v>
                </c:pt>
                <c:pt idx="16">
                  <c:v>1.9279734262321884</c:v>
                </c:pt>
                <c:pt idx="17">
                  <c:v>1.7137541566508341</c:v>
                </c:pt>
                <c:pt idx="18">
                  <c:v>1.49953488706948</c:v>
                </c:pt>
                <c:pt idx="19">
                  <c:v>1.2853156174881257</c:v>
                </c:pt>
                <c:pt idx="20">
                  <c:v>1.0710963479067712</c:v>
                </c:pt>
                <c:pt idx="21">
                  <c:v>0.85687707832541704</c:v>
                </c:pt>
                <c:pt idx="22">
                  <c:v>0.64265780874406286</c:v>
                </c:pt>
                <c:pt idx="23">
                  <c:v>0.42843853916270852</c:v>
                </c:pt>
                <c:pt idx="24">
                  <c:v>0.21421926958135426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93948688"/>
        <c:axId val="-793949776"/>
      </c:barChart>
      <c:lineChart>
        <c:grouping val="standard"/>
        <c:varyColors val="0"/>
        <c:ser>
          <c:idx val="2"/>
          <c:order val="1"/>
          <c:tx>
            <c:v>Kumulativní úhrn [mm]</c:v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'redukce návrhového deště'!$P$5:$P$29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cat>
          <c:val>
            <c:numRef>
              <c:f>'redukce návrhového deště'!$S$5:$S$29</c:f>
              <c:numCache>
                <c:formatCode>0.00</c:formatCode>
                <c:ptCount val="25"/>
                <c:pt idx="0">
                  <c:v>0.21421926958135426</c:v>
                </c:pt>
                <c:pt idx="1">
                  <c:v>0.64265780874406275</c:v>
                </c:pt>
                <c:pt idx="2">
                  <c:v>1.2853156174881257</c:v>
                </c:pt>
                <c:pt idx="3">
                  <c:v>2.1421926958135429</c:v>
                </c:pt>
                <c:pt idx="4">
                  <c:v>3.2132890437203141</c:v>
                </c:pt>
                <c:pt idx="5">
                  <c:v>4.4986046612084394</c:v>
                </c:pt>
                <c:pt idx="6">
                  <c:v>5.9981395482779192</c:v>
                </c:pt>
                <c:pt idx="7">
                  <c:v>7.7118937049287535</c:v>
                </c:pt>
                <c:pt idx="8">
                  <c:v>9.6398671311609423</c:v>
                </c:pt>
                <c:pt idx="9">
                  <c:v>11.782059826974486</c:v>
                </c:pt>
                <c:pt idx="10">
                  <c:v>14.138471792369383</c:v>
                </c:pt>
                <c:pt idx="11">
                  <c:v>16.709103027345634</c:v>
                </c:pt>
                <c:pt idx="12">
                  <c:v>19.493953531903241</c:v>
                </c:pt>
                <c:pt idx="13">
                  <c:v>22.064584766879491</c:v>
                </c:pt>
                <c:pt idx="14">
                  <c:v>24.420996732274389</c:v>
                </c:pt>
                <c:pt idx="15">
                  <c:v>26.563189428087931</c:v>
                </c:pt>
                <c:pt idx="16">
                  <c:v>28.49116285432012</c:v>
                </c:pt>
                <c:pt idx="17">
                  <c:v>30.204917010970952</c:v>
                </c:pt>
                <c:pt idx="18">
                  <c:v>31.704451898040432</c:v>
                </c:pt>
                <c:pt idx="19">
                  <c:v>32.989767515528555</c:v>
                </c:pt>
                <c:pt idx="20">
                  <c:v>34.06086386343533</c:v>
                </c:pt>
                <c:pt idx="21">
                  <c:v>34.917740941760748</c:v>
                </c:pt>
                <c:pt idx="22">
                  <c:v>35.56039875050481</c:v>
                </c:pt>
                <c:pt idx="23">
                  <c:v>35.988837289667515</c:v>
                </c:pt>
                <c:pt idx="24">
                  <c:v>36.203056559248871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93961744"/>
        <c:axId val="-793962832"/>
      </c:lineChart>
      <c:catAx>
        <c:axId val="-793948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</a:t>
                </a:r>
                <a:r>
                  <a:rPr lang="cs-CZ" baseline="0"/>
                  <a:t> od počátku srážky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93949776"/>
        <c:crosses val="autoZero"/>
        <c:auto val="1"/>
        <c:lblAlgn val="ctr"/>
        <c:lblOffset val="100"/>
        <c:noMultiLvlLbl val="0"/>
      </c:catAx>
      <c:valAx>
        <c:axId val="-79394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Srážkový úhrn </a:t>
                </a:r>
                <a:r>
                  <a:rPr lang="en-US"/>
                  <a:t>[mm]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93948688"/>
        <c:crosses val="autoZero"/>
        <c:crossBetween val="between"/>
      </c:valAx>
      <c:valAx>
        <c:axId val="-79396283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Kumulativ</a:t>
                </a:r>
                <a:r>
                  <a:rPr lang="cs-CZ"/>
                  <a:t>ní</a:t>
                </a:r>
                <a:r>
                  <a:rPr lang="cs-CZ" baseline="0"/>
                  <a:t> úhrn </a:t>
                </a:r>
                <a:r>
                  <a:rPr lang="en-US" baseline="0"/>
                  <a:t>[mm]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93961744"/>
        <c:crosses val="max"/>
        <c:crossBetween val="between"/>
      </c:valAx>
      <c:catAx>
        <c:axId val="-793961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7939628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0.emf"/><Relationship Id="rId3" Type="http://schemas.openxmlformats.org/officeDocument/2006/relationships/image" Target="../media/image5.emf"/><Relationship Id="rId7" Type="http://schemas.openxmlformats.org/officeDocument/2006/relationships/image" Target="../media/image9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35</xdr:row>
          <xdr:rowOff>19050</xdr:rowOff>
        </xdr:from>
        <xdr:to>
          <xdr:col>0</xdr:col>
          <xdr:colOff>1057275</xdr:colOff>
          <xdr:row>36</xdr:row>
          <xdr:rowOff>66675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10</xdr:row>
          <xdr:rowOff>66675</xdr:rowOff>
        </xdr:from>
        <xdr:to>
          <xdr:col>3</xdr:col>
          <xdr:colOff>457200</xdr:colOff>
          <xdr:row>11</xdr:row>
          <xdr:rowOff>114300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583111</xdr:colOff>
      <xdr:row>31</xdr:row>
      <xdr:rowOff>132650</xdr:rowOff>
    </xdr:from>
    <xdr:to>
      <xdr:col>19</xdr:col>
      <xdr:colOff>5350</xdr:colOff>
      <xdr:row>51</xdr:row>
      <xdr:rowOff>34574</xdr:rowOff>
    </xdr:to>
    <xdr:graphicFrame macro="">
      <xdr:nvGraphicFramePr>
        <xdr:cNvPr id="4" name="Graf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4</xdr:row>
          <xdr:rowOff>142875</xdr:rowOff>
        </xdr:from>
        <xdr:to>
          <xdr:col>4</xdr:col>
          <xdr:colOff>257175</xdr:colOff>
          <xdr:row>7</xdr:row>
          <xdr:rowOff>66675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8</xdr:row>
          <xdr:rowOff>161925</xdr:rowOff>
        </xdr:from>
        <xdr:to>
          <xdr:col>5</xdr:col>
          <xdr:colOff>57150</xdr:colOff>
          <xdr:row>12</xdr:row>
          <xdr:rowOff>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933450</xdr:colOff>
          <xdr:row>13</xdr:row>
          <xdr:rowOff>123825</xdr:rowOff>
        </xdr:from>
        <xdr:to>
          <xdr:col>5</xdr:col>
          <xdr:colOff>276225</xdr:colOff>
          <xdr:row>15</xdr:row>
          <xdr:rowOff>28575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17</xdr:row>
          <xdr:rowOff>180975</xdr:rowOff>
        </xdr:from>
        <xdr:to>
          <xdr:col>5</xdr:col>
          <xdr:colOff>95250</xdr:colOff>
          <xdr:row>19</xdr:row>
          <xdr:rowOff>152400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33</xdr:row>
          <xdr:rowOff>57150</xdr:rowOff>
        </xdr:from>
        <xdr:to>
          <xdr:col>2</xdr:col>
          <xdr:colOff>1428750</xdr:colOff>
          <xdr:row>39</xdr:row>
          <xdr:rowOff>152400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41</xdr:row>
          <xdr:rowOff>104775</xdr:rowOff>
        </xdr:from>
        <xdr:to>
          <xdr:col>4</xdr:col>
          <xdr:colOff>628650</xdr:colOff>
          <xdr:row>43</xdr:row>
          <xdr:rowOff>95250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48</xdr:row>
          <xdr:rowOff>19050</xdr:rowOff>
        </xdr:from>
        <xdr:to>
          <xdr:col>3</xdr:col>
          <xdr:colOff>190500</xdr:colOff>
          <xdr:row>50</xdr:row>
          <xdr:rowOff>9525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52</xdr:row>
          <xdr:rowOff>9525</xdr:rowOff>
        </xdr:from>
        <xdr:to>
          <xdr:col>3</xdr:col>
          <xdr:colOff>542925</xdr:colOff>
          <xdr:row>54</xdr:row>
          <xdr:rowOff>66675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2</xdr:col>
      <xdr:colOff>754632</xdr:colOff>
      <xdr:row>57</xdr:row>
      <xdr:rowOff>183931</xdr:rowOff>
    </xdr:from>
    <xdr:ext cx="1459109" cy="219163"/>
    <xdr:sp macro="" textlink="">
      <xdr:nvSpPr>
        <xdr:cNvPr id="2" name="TextovéPole 1"/>
        <xdr:cNvSpPr txBox="1"/>
      </xdr:nvSpPr>
      <xdr:spPr>
        <a:xfrm>
          <a:off x="1529770" y="11745310"/>
          <a:ext cx="1459109" cy="219163"/>
        </a:xfrm>
        <a:prstGeom prst="rect">
          <a:avLst/>
        </a:prstGeom>
        <a:noFill/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1400"/>
            <a:t>T = T</a:t>
          </a:r>
          <a:r>
            <a:rPr lang="cs-CZ" sz="1400" baseline="-25000"/>
            <a:t>ta</a:t>
          </a:r>
          <a:r>
            <a:rPr lang="cs-CZ" sz="1400"/>
            <a:t> + T</a:t>
          </a:r>
          <a:r>
            <a:rPr lang="cs-CZ" sz="1400" baseline="-25000"/>
            <a:t>tb</a:t>
          </a:r>
          <a:r>
            <a:rPr lang="cs-CZ" sz="1400"/>
            <a:t> + T</a:t>
          </a:r>
          <a:r>
            <a:rPr lang="cs-CZ" sz="1400" baseline="-25000"/>
            <a:t>tc</a:t>
          </a:r>
          <a:r>
            <a:rPr lang="cs-CZ" sz="1400" baseline="0"/>
            <a:t> (h)</a:t>
          </a:r>
          <a:endParaRPr lang="cs-CZ" sz="1400" baseline="-250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157782</xdr:colOff>
      <xdr:row>6</xdr:row>
      <xdr:rowOff>87796</xdr:rowOff>
    </xdr:from>
    <xdr:to>
      <xdr:col>2</xdr:col>
      <xdr:colOff>1109852</xdr:colOff>
      <xdr:row>10</xdr:row>
      <xdr:rowOff>54428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782" y="1278421"/>
          <a:ext cx="1723595" cy="823882"/>
        </a:xfrm>
        <a:prstGeom prst="rect">
          <a:avLst/>
        </a:prstGeom>
        <a:noFill/>
        <a:ln w="6350"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image" Target="../media/image7.emf"/><Relationship Id="rId18" Type="http://schemas.openxmlformats.org/officeDocument/2006/relationships/oleObject" Target="../embeddings/oleObject10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12" Type="http://schemas.openxmlformats.org/officeDocument/2006/relationships/oleObject" Target="../embeddings/oleObject7.bin"/><Relationship Id="rId17" Type="http://schemas.openxmlformats.org/officeDocument/2006/relationships/image" Target="../media/image9.emf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5" Type="http://schemas.openxmlformats.org/officeDocument/2006/relationships/image" Target="../media/image8.emf"/><Relationship Id="rId10" Type="http://schemas.openxmlformats.org/officeDocument/2006/relationships/oleObject" Target="../embeddings/oleObject6.bin"/><Relationship Id="rId19" Type="http://schemas.openxmlformats.org/officeDocument/2006/relationships/image" Target="../media/image10.emf"/><Relationship Id="rId4" Type="http://schemas.openxmlformats.org/officeDocument/2006/relationships/oleObject" Target="../embeddings/oleObject3.bin"/><Relationship Id="rId9" Type="http://schemas.openxmlformats.org/officeDocument/2006/relationships/image" Target="../media/image5.emf"/><Relationship Id="rId14" Type="http://schemas.openxmlformats.org/officeDocument/2006/relationships/oleObject" Target="../embeddings/oleObject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0"/>
  <sheetViews>
    <sheetView tabSelected="1" zoomScale="82" zoomScaleNormal="82" workbookViewId="0">
      <selection activeCell="X19" sqref="X19"/>
    </sheetView>
  </sheetViews>
  <sheetFormatPr defaultRowHeight="15" x14ac:dyDescent="0.25"/>
  <cols>
    <col min="1" max="1" width="24" customWidth="1"/>
    <col min="7" max="7" width="16.28515625" customWidth="1"/>
    <col min="8" max="8" width="19.140625" customWidth="1"/>
    <col min="9" max="9" width="15" customWidth="1"/>
    <col min="10" max="10" width="16.7109375" customWidth="1"/>
    <col min="11" max="11" width="13.28515625" customWidth="1"/>
    <col min="13" max="13" width="4" bestFit="1" customWidth="1"/>
    <col min="14" max="14" width="7.85546875" customWidth="1"/>
    <col min="15" max="15" width="7.5703125" customWidth="1"/>
    <col min="16" max="16" width="10.140625" customWidth="1"/>
    <col min="17" max="18" width="19.5703125" customWidth="1"/>
    <col min="19" max="19" width="22.42578125" customWidth="1"/>
  </cols>
  <sheetData>
    <row r="1" spans="1:19" x14ac:dyDescent="0.25">
      <c r="A1" s="28" t="s">
        <v>158</v>
      </c>
      <c r="B1" s="29"/>
      <c r="C1" s="29"/>
      <c r="D1" s="29"/>
      <c r="E1" s="29"/>
      <c r="F1" s="29"/>
    </row>
    <row r="2" spans="1:19" ht="15.75" thickBot="1" x14ac:dyDescent="0.3">
      <c r="B2" s="30"/>
      <c r="C2" s="30"/>
      <c r="D2" s="30"/>
      <c r="E2" s="30"/>
      <c r="F2" s="30"/>
      <c r="Q2" s="31"/>
      <c r="R2" s="32"/>
    </row>
    <row r="3" spans="1:19" ht="15.75" thickBot="1" x14ac:dyDescent="0.3">
      <c r="A3" s="33" t="s">
        <v>159</v>
      </c>
      <c r="H3" s="34"/>
      <c r="I3" s="32"/>
      <c r="J3" s="32"/>
      <c r="K3" s="32"/>
      <c r="L3" s="32"/>
      <c r="P3" s="35" t="s">
        <v>160</v>
      </c>
      <c r="Q3" s="36" t="s">
        <v>161</v>
      </c>
      <c r="R3" s="37" t="s">
        <v>162</v>
      </c>
      <c r="S3" s="38" t="s">
        <v>163</v>
      </c>
    </row>
    <row r="4" spans="1:19" ht="15.75" thickBot="1" x14ac:dyDescent="0.3">
      <c r="A4" s="123" t="s">
        <v>164</v>
      </c>
      <c r="B4" s="39" t="s">
        <v>165</v>
      </c>
      <c r="C4" s="40" t="s">
        <v>166</v>
      </c>
      <c r="H4" s="34"/>
      <c r="I4" s="32"/>
      <c r="J4" s="32"/>
      <c r="K4" s="32"/>
      <c r="L4" s="32"/>
      <c r="N4" t="s">
        <v>167</v>
      </c>
      <c r="P4" s="41"/>
      <c r="Q4" s="42" t="s">
        <v>168</v>
      </c>
      <c r="R4" s="43" t="s">
        <v>168</v>
      </c>
      <c r="S4" s="44" t="s">
        <v>168</v>
      </c>
    </row>
    <row r="5" spans="1:19" ht="15.75" thickBot="1" x14ac:dyDescent="0.3">
      <c r="A5" s="124"/>
      <c r="B5" s="45" t="s">
        <v>169</v>
      </c>
      <c r="C5" s="46" t="s">
        <v>170</v>
      </c>
      <c r="H5" s="34"/>
      <c r="I5" s="32"/>
      <c r="J5" s="32"/>
      <c r="K5" s="32"/>
      <c r="L5" s="47"/>
      <c r="M5" s="48">
        <v>1</v>
      </c>
      <c r="N5" s="49">
        <f>M5/$M$30</f>
        <v>5.9171597633136093E-3</v>
      </c>
      <c r="P5" s="50">
        <v>0</v>
      </c>
      <c r="Q5" s="51">
        <f>$N5*$I$21</f>
        <v>0.21421926958135426</v>
      </c>
      <c r="R5" s="52">
        <f>Q5/5</f>
        <v>4.2843853916270852E-2</v>
      </c>
      <c r="S5" s="53">
        <f>SUM(Q5:$Q$5)</f>
        <v>0.21421926958135426</v>
      </c>
    </row>
    <row r="6" spans="1:19" ht="15.75" x14ac:dyDescent="0.25">
      <c r="A6" s="54">
        <v>2</v>
      </c>
      <c r="B6" s="55">
        <v>31.5</v>
      </c>
      <c r="C6" s="56">
        <v>19.2</v>
      </c>
      <c r="H6" s="57"/>
      <c r="I6" s="58"/>
      <c r="J6" s="32"/>
      <c r="K6" s="32"/>
      <c r="L6" s="47"/>
      <c r="M6" s="48">
        <v>2</v>
      </c>
      <c r="N6" s="49">
        <f t="shared" ref="N6:N29" si="0">M6/$M$30</f>
        <v>1.1834319526627219E-2</v>
      </c>
      <c r="P6" s="59">
        <v>5</v>
      </c>
      <c r="Q6" s="51">
        <f t="shared" ref="Q6:Q29" si="1">$N6*$I$21</f>
        <v>0.42843853916270852</v>
      </c>
      <c r="R6" s="52">
        <f t="shared" ref="R6:R29" si="2">Q6/5</f>
        <v>8.5687707832541704E-2</v>
      </c>
      <c r="S6" s="60">
        <f>SUM(Q$5:$Q6)</f>
        <v>0.64265780874406275</v>
      </c>
    </row>
    <row r="7" spans="1:19" x14ac:dyDescent="0.25">
      <c r="A7" s="61">
        <v>10</v>
      </c>
      <c r="B7" s="62">
        <v>50.4</v>
      </c>
      <c r="C7" s="63">
        <v>36.200000000000003</v>
      </c>
      <c r="H7" s="64"/>
      <c r="I7" s="65"/>
      <c r="J7" s="65"/>
      <c r="K7" s="65"/>
      <c r="L7" s="47"/>
      <c r="M7" s="48">
        <v>3</v>
      </c>
      <c r="N7" s="49">
        <f t="shared" si="0"/>
        <v>1.7751479289940829E-2</v>
      </c>
      <c r="P7" s="59">
        <v>10</v>
      </c>
      <c r="Q7" s="51">
        <f t="shared" si="1"/>
        <v>0.64265780874406286</v>
      </c>
      <c r="R7" s="52">
        <f t="shared" si="2"/>
        <v>0.12853156174881258</v>
      </c>
      <c r="S7" s="60">
        <f>SUM(Q$5:$Q7)</f>
        <v>1.2853156174881257</v>
      </c>
    </row>
    <row r="8" spans="1:19" x14ac:dyDescent="0.25">
      <c r="A8" s="61">
        <v>20</v>
      </c>
      <c r="B8" s="62">
        <v>58.1</v>
      </c>
      <c r="C8" s="63">
        <v>44.7</v>
      </c>
      <c r="H8" s="65"/>
      <c r="I8" s="66"/>
      <c r="J8" s="66"/>
      <c r="K8" s="66"/>
      <c r="L8" s="47"/>
      <c r="M8" s="48">
        <v>4</v>
      </c>
      <c r="N8" s="49">
        <f t="shared" si="0"/>
        <v>2.3668639053254437E-2</v>
      </c>
      <c r="P8" s="59">
        <v>15</v>
      </c>
      <c r="Q8" s="51">
        <f t="shared" si="1"/>
        <v>0.85687707832541704</v>
      </c>
      <c r="R8" s="52">
        <f t="shared" si="2"/>
        <v>0.17137541566508341</v>
      </c>
      <c r="S8" s="60">
        <f>SUM(Q$5:$Q8)</f>
        <v>2.1421926958135429</v>
      </c>
    </row>
    <row r="9" spans="1:19" x14ac:dyDescent="0.25">
      <c r="A9" s="61">
        <v>50</v>
      </c>
      <c r="B9" s="62">
        <v>67.5</v>
      </c>
      <c r="C9" s="63">
        <v>56.1</v>
      </c>
      <c r="H9" s="67"/>
      <c r="I9" s="66"/>
      <c r="J9" s="66"/>
      <c r="K9" s="66"/>
      <c r="L9" s="47"/>
      <c r="M9" s="48">
        <v>5</v>
      </c>
      <c r="N9" s="49">
        <f t="shared" si="0"/>
        <v>2.9585798816568046E-2</v>
      </c>
      <c r="P9" s="59">
        <v>20</v>
      </c>
      <c r="Q9" s="51">
        <f t="shared" si="1"/>
        <v>1.0710963479067712</v>
      </c>
      <c r="R9" s="52">
        <f t="shared" si="2"/>
        <v>0.21421926958135423</v>
      </c>
      <c r="S9" s="60">
        <f>SUM(Q$5:$Q9)</f>
        <v>3.2132890437203141</v>
      </c>
    </row>
    <row r="10" spans="1:19" ht="15.75" thickBot="1" x14ac:dyDescent="0.3">
      <c r="A10" s="68">
        <v>100</v>
      </c>
      <c r="B10" s="69">
        <v>74.900000000000006</v>
      </c>
      <c r="C10" s="46">
        <v>64.400000000000006</v>
      </c>
      <c r="H10" s="67"/>
      <c r="I10" s="66"/>
      <c r="J10" s="66"/>
      <c r="K10" s="66"/>
      <c r="L10" s="47"/>
      <c r="M10" s="48">
        <v>6</v>
      </c>
      <c r="N10" s="49">
        <f t="shared" si="0"/>
        <v>3.5502958579881658E-2</v>
      </c>
      <c r="P10" s="59">
        <v>25</v>
      </c>
      <c r="Q10" s="51">
        <f t="shared" si="1"/>
        <v>1.2853156174881257</v>
      </c>
      <c r="R10" s="52">
        <f t="shared" si="2"/>
        <v>0.25706312349762517</v>
      </c>
      <c r="S10" s="60">
        <f>SUM(Q$5:$Q10)</f>
        <v>4.4986046612084394</v>
      </c>
    </row>
    <row r="11" spans="1:19" x14ac:dyDescent="0.25">
      <c r="H11" s="67"/>
      <c r="I11" s="66"/>
      <c r="J11" s="66"/>
      <c r="K11" s="66"/>
      <c r="L11" s="47"/>
      <c r="M11" s="48">
        <v>7</v>
      </c>
      <c r="N11" s="49">
        <f t="shared" si="0"/>
        <v>4.142011834319527E-2</v>
      </c>
      <c r="P11" s="59">
        <v>30</v>
      </c>
      <c r="Q11" s="51">
        <f t="shared" si="1"/>
        <v>1.49953488706948</v>
      </c>
      <c r="R11" s="52">
        <f t="shared" si="2"/>
        <v>0.29990697741389599</v>
      </c>
      <c r="S11" s="60">
        <f>SUM(Q$5:$Q11)</f>
        <v>5.9981395482779192</v>
      </c>
    </row>
    <row r="12" spans="1:19" x14ac:dyDescent="0.25">
      <c r="A12" t="s">
        <v>171</v>
      </c>
      <c r="H12" s="67"/>
      <c r="I12" s="66"/>
      <c r="J12" s="66"/>
      <c r="K12" s="66"/>
      <c r="L12" s="47"/>
      <c r="M12" s="48">
        <v>8</v>
      </c>
      <c r="N12" s="49">
        <f t="shared" si="0"/>
        <v>4.7337278106508875E-2</v>
      </c>
      <c r="P12" s="59">
        <v>35</v>
      </c>
      <c r="Q12" s="51">
        <f t="shared" si="1"/>
        <v>1.7137541566508341</v>
      </c>
      <c r="R12" s="52">
        <f t="shared" si="2"/>
        <v>0.34275083133016682</v>
      </c>
      <c r="S12" s="60">
        <f>SUM(Q$5:$Q12)</f>
        <v>7.7118937049287535</v>
      </c>
    </row>
    <row r="13" spans="1:19" ht="15.75" thickBot="1" x14ac:dyDescent="0.3">
      <c r="A13" s="70" t="s">
        <v>164</v>
      </c>
      <c r="C13" s="71" t="s">
        <v>172</v>
      </c>
      <c r="D13" s="71" t="s">
        <v>173</v>
      </c>
      <c r="E13" s="71" t="s">
        <v>174</v>
      </c>
      <c r="H13" s="3" t="s">
        <v>175</v>
      </c>
      <c r="I13" s="72">
        <v>120</v>
      </c>
      <c r="J13" s="1" t="s">
        <v>111</v>
      </c>
      <c r="L13" s="47"/>
      <c r="M13" s="48">
        <v>9</v>
      </c>
      <c r="N13" s="49">
        <f t="shared" si="0"/>
        <v>5.3254437869822487E-2</v>
      </c>
      <c r="P13" s="59">
        <v>40</v>
      </c>
      <c r="Q13" s="51">
        <f t="shared" si="1"/>
        <v>1.9279734262321884</v>
      </c>
      <c r="R13" s="52">
        <f t="shared" si="2"/>
        <v>0.3855946852464377</v>
      </c>
      <c r="S13" s="60">
        <f>SUM(Q$5:$Q13)</f>
        <v>9.6398671311609423</v>
      </c>
    </row>
    <row r="14" spans="1:19" ht="15.75" thickBot="1" x14ac:dyDescent="0.3">
      <c r="A14" s="73"/>
      <c r="B14" s="74" t="s">
        <v>176</v>
      </c>
      <c r="C14" s="75">
        <v>0.16900000000000001</v>
      </c>
      <c r="D14" s="75">
        <v>0.22700000000000001</v>
      </c>
      <c r="E14" s="75">
        <v>0.193</v>
      </c>
      <c r="L14" s="47"/>
      <c r="M14" s="48">
        <v>10</v>
      </c>
      <c r="N14" s="49">
        <f t="shared" si="0"/>
        <v>5.9171597633136092E-2</v>
      </c>
      <c r="P14" s="59">
        <v>45</v>
      </c>
      <c r="Q14" s="51">
        <f t="shared" si="1"/>
        <v>2.1421926958135424</v>
      </c>
      <c r="R14" s="52">
        <f t="shared" si="2"/>
        <v>0.42843853916270846</v>
      </c>
      <c r="S14" s="60">
        <f>SUM(Q$5:$Q14)</f>
        <v>11.782059826974486</v>
      </c>
    </row>
    <row r="15" spans="1:19" x14ac:dyDescent="0.25">
      <c r="A15" s="76">
        <v>1</v>
      </c>
      <c r="B15" s="77" t="s">
        <v>177</v>
      </c>
      <c r="C15" s="78">
        <v>0.22700000000000001</v>
      </c>
      <c r="D15" s="78">
        <v>0.19700000000000001</v>
      </c>
      <c r="E15" s="78">
        <v>0.22600000000000001</v>
      </c>
      <c r="G15" s="79" t="s">
        <v>178</v>
      </c>
      <c r="H15" s="80" t="s">
        <v>179</v>
      </c>
      <c r="I15" s="81" t="s">
        <v>180</v>
      </c>
      <c r="J15" s="81" t="s">
        <v>181</v>
      </c>
      <c r="K15" s="82" t="s">
        <v>182</v>
      </c>
      <c r="L15" s="47"/>
      <c r="M15" s="48">
        <v>11</v>
      </c>
      <c r="N15" s="49">
        <f t="shared" si="0"/>
        <v>6.5088757396449703E-2</v>
      </c>
      <c r="P15" s="59">
        <v>50</v>
      </c>
      <c r="Q15" s="51">
        <f t="shared" si="1"/>
        <v>2.3564119653948969</v>
      </c>
      <c r="R15" s="52">
        <f t="shared" si="2"/>
        <v>0.4712823930789794</v>
      </c>
      <c r="S15" s="60">
        <f>SUM(Q$5:$Q15)</f>
        <v>14.138471792369383</v>
      </c>
    </row>
    <row r="16" spans="1:19" ht="15.75" thickBot="1" x14ac:dyDescent="0.3">
      <c r="A16" s="83"/>
      <c r="B16" s="84" t="s">
        <v>183</v>
      </c>
      <c r="C16" s="85">
        <v>0.72299999999999998</v>
      </c>
      <c r="D16" s="85">
        <v>0.80400000000000005</v>
      </c>
      <c r="E16" s="85">
        <v>0.77400000000000002</v>
      </c>
      <c r="G16" s="125" t="s">
        <v>164</v>
      </c>
      <c r="H16" s="86" t="s">
        <v>184</v>
      </c>
      <c r="I16" s="86" t="s">
        <v>185</v>
      </c>
      <c r="J16" s="86" t="s">
        <v>186</v>
      </c>
      <c r="K16" s="87" t="s">
        <v>186</v>
      </c>
      <c r="L16" s="47"/>
      <c r="M16" s="48">
        <v>12</v>
      </c>
      <c r="N16" s="49">
        <f t="shared" si="0"/>
        <v>7.1005917159763315E-2</v>
      </c>
      <c r="P16" s="59">
        <v>55</v>
      </c>
      <c r="Q16" s="51">
        <f t="shared" si="1"/>
        <v>2.5706312349762515</v>
      </c>
      <c r="R16" s="52">
        <f t="shared" si="2"/>
        <v>0.51412624699525034</v>
      </c>
      <c r="S16" s="60">
        <f>SUM(Q$5:$Q16)</f>
        <v>16.709103027345634</v>
      </c>
    </row>
    <row r="17" spans="1:19" ht="15.75" thickBot="1" x14ac:dyDescent="0.3">
      <c r="A17" s="73"/>
      <c r="B17" s="74" t="s">
        <v>176</v>
      </c>
      <c r="C17" s="75">
        <v>0.16600000000000001</v>
      </c>
      <c r="D17" s="75">
        <v>0.23699999999999999</v>
      </c>
      <c r="E17" s="75">
        <v>0.23499999999999999</v>
      </c>
      <c r="G17" s="126"/>
      <c r="H17" s="88" t="s">
        <v>187</v>
      </c>
      <c r="I17" s="88" t="s">
        <v>170</v>
      </c>
      <c r="J17" s="88" t="s">
        <v>188</v>
      </c>
      <c r="K17" s="89" t="s">
        <v>189</v>
      </c>
      <c r="L17" s="47"/>
      <c r="M17" s="48">
        <v>13</v>
      </c>
      <c r="N17" s="49">
        <f t="shared" si="0"/>
        <v>7.6923076923076927E-2</v>
      </c>
      <c r="P17" s="59">
        <v>60</v>
      </c>
      <c r="Q17" s="51">
        <f t="shared" si="1"/>
        <v>2.7848505045576055</v>
      </c>
      <c r="R17" s="52">
        <f t="shared" si="2"/>
        <v>0.5569701009115211</v>
      </c>
      <c r="S17" s="60">
        <f>SUM(Q$5:$Q17)</f>
        <v>19.493953531903241</v>
      </c>
    </row>
    <row r="18" spans="1:19" x14ac:dyDescent="0.25">
      <c r="A18" s="76">
        <v>2</v>
      </c>
      <c r="B18" s="77" t="s">
        <v>177</v>
      </c>
      <c r="C18" s="78">
        <v>0.29899999999999999</v>
      </c>
      <c r="D18" s="78">
        <v>0.19700000000000001</v>
      </c>
      <c r="E18" s="78">
        <v>0.19900000000000001</v>
      </c>
      <c r="G18" s="90">
        <v>1</v>
      </c>
      <c r="H18" s="91">
        <f>IF(($I$13&lt;40),$C$14*$I$13^$C$15,IF(($I$13&lt;120),$D$14*$I$13^$D$15,$E$14*$I$13^$E$15))</f>
        <v>0.56944563806003945</v>
      </c>
      <c r="I18" s="92">
        <f>B$6*H18</f>
        <v>17.937537598891243</v>
      </c>
      <c r="J18" s="93"/>
      <c r="K18" s="94"/>
      <c r="L18" s="47"/>
      <c r="M18" s="48">
        <v>12</v>
      </c>
      <c r="N18" s="49">
        <f t="shared" si="0"/>
        <v>7.1005917159763315E-2</v>
      </c>
      <c r="P18" s="59">
        <v>65</v>
      </c>
      <c r="Q18" s="51">
        <f t="shared" si="1"/>
        <v>2.5706312349762515</v>
      </c>
      <c r="R18" s="52">
        <f t="shared" si="2"/>
        <v>0.51412624699525034</v>
      </c>
      <c r="S18" s="60">
        <f>SUM(Q$5:$Q18)</f>
        <v>22.064584766879491</v>
      </c>
    </row>
    <row r="19" spans="1:19" ht="15.75" thickBot="1" x14ac:dyDescent="0.3">
      <c r="A19" s="83"/>
      <c r="B19" s="84" t="s">
        <v>183</v>
      </c>
      <c r="C19" s="85">
        <v>0.70099999999999996</v>
      </c>
      <c r="D19" s="85">
        <v>0.80300000000000005</v>
      </c>
      <c r="E19" s="85">
        <v>0.80100000000000005</v>
      </c>
      <c r="G19" s="95">
        <v>2</v>
      </c>
      <c r="H19" s="96">
        <f>IF((I$13&lt;40),$C$17*I$13^$C$18,IF((I$13&lt;120),$D$17*I$13^$D$18,$E$17*I$13^$E$18))</f>
        <v>0.60929123449249523</v>
      </c>
      <c r="I19" s="97">
        <f>B$6*H19</f>
        <v>19.1926738865136</v>
      </c>
      <c r="J19" s="98">
        <f>I19/($I13/60)</f>
        <v>9.5963369432567998</v>
      </c>
      <c r="K19" s="99">
        <f>I19/($I$13*60)*10000</f>
        <v>26.656491509046667</v>
      </c>
      <c r="L19" s="47"/>
      <c r="M19" s="48">
        <v>11</v>
      </c>
      <c r="N19" s="49">
        <f t="shared" si="0"/>
        <v>6.5088757396449703E-2</v>
      </c>
      <c r="P19" s="59">
        <v>70</v>
      </c>
      <c r="Q19" s="51">
        <f t="shared" si="1"/>
        <v>2.3564119653948969</v>
      </c>
      <c r="R19" s="52">
        <f t="shared" si="2"/>
        <v>0.4712823930789794</v>
      </c>
      <c r="S19" s="60">
        <f>SUM(Q$5:$Q19)</f>
        <v>24.420996732274389</v>
      </c>
    </row>
    <row r="20" spans="1:19" x14ac:dyDescent="0.25">
      <c r="A20" s="73"/>
      <c r="B20" s="74" t="s">
        <v>176</v>
      </c>
      <c r="C20" s="75">
        <v>0.17100000000000001</v>
      </c>
      <c r="D20" s="75">
        <v>0.26500000000000001</v>
      </c>
      <c r="E20" s="75">
        <v>0.32400000000000001</v>
      </c>
      <c r="G20" s="100">
        <v>5</v>
      </c>
      <c r="H20" s="96">
        <f>IF((I$13&lt;40),$C$20*I$13^$C$21,IF((I$13&lt;120),$D$20*I$13^$D$21,$E$20*I$13^$E$21))</f>
        <v>0.68048429004403554</v>
      </c>
      <c r="I20" s="97">
        <f>B$6*H20</f>
        <v>21.43525513638712</v>
      </c>
      <c r="J20" s="101"/>
      <c r="K20" s="102"/>
      <c r="L20" s="47"/>
      <c r="M20" s="48">
        <v>10</v>
      </c>
      <c r="N20" s="49">
        <f t="shared" si="0"/>
        <v>5.9171597633136092E-2</v>
      </c>
      <c r="P20" s="59">
        <v>75</v>
      </c>
      <c r="Q20" s="51">
        <f t="shared" si="1"/>
        <v>2.1421926958135424</v>
      </c>
      <c r="R20" s="52">
        <f t="shared" si="2"/>
        <v>0.42843853916270846</v>
      </c>
      <c r="S20" s="60">
        <f>SUM(Q$5:$Q20)</f>
        <v>26.563189428087931</v>
      </c>
    </row>
    <row r="21" spans="1:19" x14ac:dyDescent="0.25">
      <c r="A21" s="76">
        <v>5</v>
      </c>
      <c r="B21" s="77" t="s">
        <v>177</v>
      </c>
      <c r="C21" s="78">
        <v>0.312</v>
      </c>
      <c r="D21" s="78">
        <v>0.19700000000000001</v>
      </c>
      <c r="E21" s="78">
        <v>0.155</v>
      </c>
      <c r="G21" s="95">
        <v>10</v>
      </c>
      <c r="H21" s="96">
        <f>IF((I$13&lt;40),$C$23*I$13^$C$24,IF((I$13&lt;120),$D$23*I$13^$D$24,$E$23*I$13^$E$24))</f>
        <v>0.71831461427081089</v>
      </c>
      <c r="I21" s="97">
        <f>B$7*H21</f>
        <v>36.203056559248871</v>
      </c>
      <c r="J21" s="98">
        <f>I21/($I13/60)</f>
        <v>18.101528279624436</v>
      </c>
      <c r="K21" s="99">
        <f>I21/($I$13*60)*10000</f>
        <v>50.282022998956769</v>
      </c>
      <c r="L21" s="47"/>
      <c r="M21" s="48">
        <v>9</v>
      </c>
      <c r="N21" s="49">
        <f t="shared" si="0"/>
        <v>5.3254437869822487E-2</v>
      </c>
      <c r="P21" s="59">
        <v>80</v>
      </c>
      <c r="Q21" s="51">
        <f t="shared" si="1"/>
        <v>1.9279734262321884</v>
      </c>
      <c r="R21" s="52">
        <f t="shared" si="2"/>
        <v>0.3855946852464377</v>
      </c>
      <c r="S21" s="60">
        <f>SUM(Q$5:$Q21)</f>
        <v>28.49116285432012</v>
      </c>
    </row>
    <row r="22" spans="1:19" ht="15.75" thickBot="1" x14ac:dyDescent="0.3">
      <c r="A22" s="83"/>
      <c r="B22" s="84" t="s">
        <v>183</v>
      </c>
      <c r="C22" s="85">
        <v>0.68799999999999994</v>
      </c>
      <c r="D22" s="85">
        <v>0.80300000000000005</v>
      </c>
      <c r="E22" s="85">
        <v>0.84499999999999997</v>
      </c>
      <c r="G22" s="95">
        <v>20</v>
      </c>
      <c r="H22" s="96">
        <f>IF((I$13&lt;40),$C$26*I$13^$C$27,IF((I$13&lt;120),$D$26*I$13^$D$27,$E$26*I$13^$E$27))</f>
        <v>0.76908475563395395</v>
      </c>
      <c r="I22" s="97">
        <f>B$8*H22</f>
        <v>44.683824302332724</v>
      </c>
      <c r="J22" s="98">
        <f>I22/($I13/60)</f>
        <v>22.341912151166362</v>
      </c>
      <c r="K22" s="99">
        <f>I22/($I$13*60)*10000</f>
        <v>62.060867086573225</v>
      </c>
      <c r="L22" s="47"/>
      <c r="M22" s="48">
        <v>8</v>
      </c>
      <c r="N22" s="49">
        <f t="shared" si="0"/>
        <v>4.7337278106508875E-2</v>
      </c>
      <c r="P22" s="59">
        <v>85</v>
      </c>
      <c r="Q22" s="51">
        <f t="shared" si="1"/>
        <v>1.7137541566508341</v>
      </c>
      <c r="R22" s="52">
        <f t="shared" si="2"/>
        <v>0.34275083133016682</v>
      </c>
      <c r="S22" s="60">
        <f>SUM(Q$5:$Q22)</f>
        <v>30.204917010970952</v>
      </c>
    </row>
    <row r="23" spans="1:19" x14ac:dyDescent="0.25">
      <c r="A23" s="73"/>
      <c r="B23" s="74" t="s">
        <v>176</v>
      </c>
      <c r="C23" s="75">
        <v>0.16300000000000001</v>
      </c>
      <c r="D23" s="75">
        <v>0.28000000000000003</v>
      </c>
      <c r="E23" s="75">
        <v>0.38</v>
      </c>
      <c r="G23" s="103">
        <v>50</v>
      </c>
      <c r="H23" s="96">
        <f>IF((I$13&lt;40),$C$29*I$13^$C$30,IF((I$13&lt;120),$D$29*I$13^$D$30,$E$29*I$13^$E$30))</f>
        <v>0.83055153843918339</v>
      </c>
      <c r="I23" s="97">
        <f>B$9*H23</f>
        <v>56.062228844644878</v>
      </c>
      <c r="J23" s="98">
        <f>I23/($I13/60)</f>
        <v>28.031114422322439</v>
      </c>
      <c r="K23" s="99">
        <f>I23/($I$13*60)*10000</f>
        <v>77.864206728673437</v>
      </c>
      <c r="L23" s="47"/>
      <c r="M23" s="48">
        <v>7</v>
      </c>
      <c r="N23" s="49">
        <f t="shared" si="0"/>
        <v>4.142011834319527E-2</v>
      </c>
      <c r="P23" s="59">
        <v>90</v>
      </c>
      <c r="Q23" s="51">
        <f t="shared" si="1"/>
        <v>1.49953488706948</v>
      </c>
      <c r="R23" s="52">
        <f t="shared" si="2"/>
        <v>0.29990697741389599</v>
      </c>
      <c r="S23" s="60">
        <f>SUM(Q$5:$Q23)</f>
        <v>31.704451898040432</v>
      </c>
    </row>
    <row r="24" spans="1:19" ht="15.75" thickBot="1" x14ac:dyDescent="0.3">
      <c r="A24" s="76">
        <v>10</v>
      </c>
      <c r="B24" s="77" t="s">
        <v>177</v>
      </c>
      <c r="C24" s="78">
        <v>0.34399999999999997</v>
      </c>
      <c r="D24" s="78">
        <v>0.19700000000000001</v>
      </c>
      <c r="E24" s="78">
        <v>0.13300000000000001</v>
      </c>
      <c r="G24" s="104">
        <v>100</v>
      </c>
      <c r="H24" s="105">
        <f>IF((I$13&lt;40),$C$32*I$13^$C$33,IF((I$13&lt;120),$D$32*I$13^$D$33,$E$32*I$13^$E$33))</f>
        <v>0.85973594379330298</v>
      </c>
      <c r="I24" s="106">
        <f>B$10*H24</f>
        <v>64.394222190118398</v>
      </c>
      <c r="J24" s="107">
        <f>I24/($I13/60)</f>
        <v>32.197111095059199</v>
      </c>
      <c r="K24" s="108">
        <f>I24/($I$13*60)*10000</f>
        <v>89.43641970849778</v>
      </c>
      <c r="L24" s="47"/>
      <c r="M24" s="48">
        <v>6</v>
      </c>
      <c r="N24" s="49">
        <f t="shared" si="0"/>
        <v>3.5502958579881658E-2</v>
      </c>
      <c r="P24" s="59">
        <v>95</v>
      </c>
      <c r="Q24" s="51">
        <f t="shared" si="1"/>
        <v>1.2853156174881257</v>
      </c>
      <c r="R24" s="52">
        <f t="shared" si="2"/>
        <v>0.25706312349762517</v>
      </c>
      <c r="S24" s="60">
        <f>SUM(Q$5:$Q24)</f>
        <v>32.989767515528555</v>
      </c>
    </row>
    <row r="25" spans="1:19" ht="15.75" thickBot="1" x14ac:dyDescent="0.3">
      <c r="A25" s="83"/>
      <c r="B25" s="84" t="s">
        <v>183</v>
      </c>
      <c r="C25" s="85">
        <v>0.65600000000000003</v>
      </c>
      <c r="D25" s="85">
        <v>0.80300000000000005</v>
      </c>
      <c r="E25" s="85">
        <v>0.86699999999999999</v>
      </c>
      <c r="L25" s="47"/>
      <c r="M25" s="48">
        <v>5</v>
      </c>
      <c r="N25" s="49">
        <f t="shared" si="0"/>
        <v>2.9585798816568046E-2</v>
      </c>
      <c r="P25" s="59">
        <v>100</v>
      </c>
      <c r="Q25" s="51">
        <f t="shared" si="1"/>
        <v>1.0710963479067712</v>
      </c>
      <c r="R25" s="52">
        <f t="shared" si="2"/>
        <v>0.21421926958135423</v>
      </c>
      <c r="S25" s="60">
        <f>SUM(Q$5:$Q25)</f>
        <v>34.06086386343533</v>
      </c>
    </row>
    <row r="26" spans="1:19" x14ac:dyDescent="0.25">
      <c r="A26" s="73"/>
      <c r="B26" s="74" t="s">
        <v>176</v>
      </c>
      <c r="C26" s="75">
        <v>0.16900000000000001</v>
      </c>
      <c r="D26" s="75">
        <v>0.3</v>
      </c>
      <c r="E26" s="75">
        <v>0.46300000000000002</v>
      </c>
      <c r="L26" s="47"/>
      <c r="M26" s="48">
        <v>4</v>
      </c>
      <c r="N26" s="49">
        <f t="shared" si="0"/>
        <v>2.3668639053254437E-2</v>
      </c>
      <c r="P26" s="59">
        <v>105</v>
      </c>
      <c r="Q26" s="51">
        <f t="shared" si="1"/>
        <v>0.85687707832541704</v>
      </c>
      <c r="R26" s="52">
        <f t="shared" si="2"/>
        <v>0.17137541566508341</v>
      </c>
      <c r="S26" s="60">
        <f>SUM(Q$5:$Q26)</f>
        <v>34.917740941760748</v>
      </c>
    </row>
    <row r="27" spans="1:19" x14ac:dyDescent="0.25">
      <c r="A27" s="76">
        <v>20</v>
      </c>
      <c r="B27" s="77" t="s">
        <v>177</v>
      </c>
      <c r="C27" s="78">
        <v>0.35199999999999998</v>
      </c>
      <c r="D27" s="78">
        <v>0.19700000000000001</v>
      </c>
      <c r="E27" s="78">
        <v>0.106</v>
      </c>
      <c r="L27" s="47"/>
      <c r="M27" s="48">
        <v>3</v>
      </c>
      <c r="N27" s="49">
        <f t="shared" si="0"/>
        <v>1.7751479289940829E-2</v>
      </c>
      <c r="P27" s="59">
        <v>110</v>
      </c>
      <c r="Q27" s="51">
        <f t="shared" si="1"/>
        <v>0.64265780874406286</v>
      </c>
      <c r="R27" s="52">
        <f t="shared" si="2"/>
        <v>0.12853156174881258</v>
      </c>
      <c r="S27" s="60">
        <f>SUM(Q$5:$Q27)</f>
        <v>35.56039875050481</v>
      </c>
    </row>
    <row r="28" spans="1:19" ht="15.75" thickBot="1" x14ac:dyDescent="0.3">
      <c r="A28" s="83"/>
      <c r="B28" s="84" t="s">
        <v>183</v>
      </c>
      <c r="C28" s="85">
        <v>0.64800000000000002</v>
      </c>
      <c r="D28" s="85">
        <v>0.80300000000000005</v>
      </c>
      <c r="E28" s="85">
        <v>0.89400000000000002</v>
      </c>
      <c r="L28" s="109"/>
      <c r="M28" s="48">
        <v>2</v>
      </c>
      <c r="N28" s="49">
        <f t="shared" si="0"/>
        <v>1.1834319526627219E-2</v>
      </c>
      <c r="P28" s="59">
        <v>115</v>
      </c>
      <c r="Q28" s="51">
        <f t="shared" si="1"/>
        <v>0.42843853916270852</v>
      </c>
      <c r="R28" s="52">
        <f t="shared" si="2"/>
        <v>8.5687707832541704E-2</v>
      </c>
      <c r="S28" s="60">
        <f>SUM(Q$5:$Q28)</f>
        <v>35.988837289667515</v>
      </c>
    </row>
    <row r="29" spans="1:19" ht="15.75" thickBot="1" x14ac:dyDescent="0.3">
      <c r="A29" s="73"/>
      <c r="B29" s="74" t="s">
        <v>176</v>
      </c>
      <c r="C29" s="75">
        <v>0.17399999999999999</v>
      </c>
      <c r="D29" s="75">
        <v>0.32300000000000001</v>
      </c>
      <c r="E29" s="75">
        <v>0.57999999999999996</v>
      </c>
      <c r="H29" s="67"/>
      <c r="I29" s="47"/>
      <c r="J29" s="47"/>
      <c r="K29" s="47"/>
      <c r="L29" s="47"/>
      <c r="M29" s="110">
        <v>1</v>
      </c>
      <c r="N29" s="49">
        <f t="shared" si="0"/>
        <v>5.9171597633136093E-3</v>
      </c>
      <c r="P29" s="111">
        <v>120</v>
      </c>
      <c r="Q29" s="47">
        <f t="shared" si="1"/>
        <v>0.21421926958135426</v>
      </c>
      <c r="R29" s="52">
        <f t="shared" si="2"/>
        <v>4.2843853916270852E-2</v>
      </c>
      <c r="S29" s="112">
        <f>SUM(Q$5:$Q29)</f>
        <v>36.203056559248871</v>
      </c>
    </row>
    <row r="30" spans="1:19" x14ac:dyDescent="0.25">
      <c r="A30" s="76">
        <v>50</v>
      </c>
      <c r="B30" s="77" t="s">
        <v>177</v>
      </c>
      <c r="C30" s="78">
        <v>0.36199999999999999</v>
      </c>
      <c r="D30" s="78">
        <v>0.19700000000000001</v>
      </c>
      <c r="E30" s="78">
        <v>7.4999999999999997E-2</v>
      </c>
      <c r="H30" s="67"/>
      <c r="I30" s="47"/>
      <c r="J30" s="47"/>
      <c r="K30" s="47"/>
      <c r="L30" s="113"/>
      <c r="M30" s="114">
        <f>SUM(M5:M29)</f>
        <v>169</v>
      </c>
      <c r="P30" s="115"/>
      <c r="Q30" s="116"/>
      <c r="R30" s="116"/>
      <c r="S30" s="115"/>
    </row>
    <row r="31" spans="1:19" ht="15.75" thickBot="1" x14ac:dyDescent="0.3">
      <c r="A31" s="83"/>
      <c r="B31" s="84" t="s">
        <v>183</v>
      </c>
      <c r="C31" s="85">
        <v>0.63800000000000001</v>
      </c>
      <c r="D31" s="85">
        <v>0.80300000000000005</v>
      </c>
      <c r="E31" s="85">
        <v>0.92500000000000004</v>
      </c>
      <c r="H31" s="34"/>
      <c r="I31" s="32"/>
      <c r="J31" s="32"/>
      <c r="K31" s="32"/>
      <c r="P31" s="34"/>
      <c r="Q31" s="34"/>
      <c r="R31" s="34"/>
    </row>
    <row r="32" spans="1:19" ht="15.75" x14ac:dyDescent="0.25">
      <c r="A32" s="73"/>
      <c r="B32" s="74" t="s">
        <v>176</v>
      </c>
      <c r="C32" s="75">
        <v>0.17299999999999999</v>
      </c>
      <c r="D32" s="75">
        <v>0.33500000000000002</v>
      </c>
      <c r="E32" s="75">
        <v>0.64200000000000002</v>
      </c>
      <c r="I32" s="14"/>
      <c r="J32" s="117"/>
      <c r="K32" s="14"/>
      <c r="S32" s="34"/>
    </row>
    <row r="33" spans="1:18" x14ac:dyDescent="0.25">
      <c r="A33" s="76">
        <v>100</v>
      </c>
      <c r="B33" s="77" t="s">
        <v>177</v>
      </c>
      <c r="C33" s="78">
        <v>0.375</v>
      </c>
      <c r="D33" s="78">
        <v>0.19700000000000001</v>
      </c>
      <c r="E33" s="78">
        <v>6.0999999999999999E-2</v>
      </c>
      <c r="I33" s="14"/>
      <c r="J33" s="3"/>
      <c r="K33" s="14"/>
    </row>
    <row r="34" spans="1:18" ht="15.75" thickBot="1" x14ac:dyDescent="0.3">
      <c r="A34" s="83"/>
      <c r="B34" s="84" t="s">
        <v>183</v>
      </c>
      <c r="C34" s="85">
        <v>0.625</v>
      </c>
      <c r="D34" s="85">
        <v>0.80300000000000005</v>
      </c>
      <c r="E34" s="85">
        <v>0.93899999999999995</v>
      </c>
      <c r="I34" s="14"/>
      <c r="J34" s="67"/>
      <c r="K34" s="14"/>
    </row>
    <row r="35" spans="1:18" x14ac:dyDescent="0.25">
      <c r="I35" s="14"/>
      <c r="J35" s="67"/>
      <c r="K35" s="14"/>
    </row>
    <row r="36" spans="1:18" x14ac:dyDescent="0.25">
      <c r="I36" s="14"/>
      <c r="J36" s="67"/>
      <c r="K36" s="14"/>
      <c r="O36" s="34"/>
      <c r="P36" s="64"/>
      <c r="Q36" s="118"/>
      <c r="R36" s="118"/>
    </row>
    <row r="37" spans="1:18" x14ac:dyDescent="0.25">
      <c r="I37" s="14"/>
      <c r="J37" s="67"/>
      <c r="K37" s="14"/>
      <c r="O37" s="34"/>
      <c r="P37" s="32"/>
      <c r="Q37" s="119"/>
      <c r="R37" s="119"/>
    </row>
    <row r="38" spans="1:18" x14ac:dyDescent="0.25">
      <c r="I38" s="14"/>
      <c r="J38" s="67"/>
      <c r="K38" s="14"/>
      <c r="O38" s="34"/>
      <c r="P38" s="64"/>
      <c r="Q38" s="120"/>
      <c r="R38" s="120"/>
    </row>
    <row r="39" spans="1:18" x14ac:dyDescent="0.25">
      <c r="A39" s="121"/>
      <c r="I39" s="14"/>
      <c r="J39" s="14"/>
      <c r="K39" s="14"/>
      <c r="O39" s="34"/>
      <c r="P39" s="34"/>
      <c r="Q39" s="34"/>
      <c r="R39" s="34"/>
    </row>
    <row r="40" spans="1:18" ht="15.75" x14ac:dyDescent="0.25">
      <c r="I40" s="14"/>
      <c r="J40" s="117"/>
      <c r="K40" s="14"/>
    </row>
    <row r="41" spans="1:18" x14ac:dyDescent="0.25">
      <c r="I41" s="14"/>
      <c r="J41" s="3"/>
      <c r="K41" s="14"/>
    </row>
    <row r="42" spans="1:18" x14ac:dyDescent="0.25">
      <c r="A42" s="122"/>
      <c r="G42" s="70"/>
      <c r="I42" s="14"/>
      <c r="J42" s="67"/>
      <c r="K42" s="14"/>
    </row>
    <row r="43" spans="1:18" x14ac:dyDescent="0.25">
      <c r="I43" s="14"/>
      <c r="J43" s="67"/>
      <c r="K43" s="14"/>
    </row>
    <row r="44" spans="1:18" x14ac:dyDescent="0.25">
      <c r="I44" s="14"/>
      <c r="J44" s="67"/>
      <c r="K44" s="14"/>
    </row>
    <row r="45" spans="1:18" x14ac:dyDescent="0.25">
      <c r="I45" s="14"/>
      <c r="J45" s="14"/>
    </row>
    <row r="46" spans="1:18" x14ac:dyDescent="0.25">
      <c r="G46" s="70"/>
      <c r="H46" s="70"/>
      <c r="I46" s="70"/>
      <c r="J46" s="70"/>
    </row>
    <row r="47" spans="1:18" x14ac:dyDescent="0.25">
      <c r="I47" s="14"/>
      <c r="J47" s="14"/>
    </row>
    <row r="48" spans="1:18" x14ac:dyDescent="0.25">
      <c r="G48" s="70"/>
      <c r="H48" s="70"/>
      <c r="I48" s="70"/>
      <c r="J48" s="70"/>
    </row>
    <row r="49" spans="3:11" x14ac:dyDescent="0.25">
      <c r="G49" s="114"/>
      <c r="I49" s="14"/>
      <c r="J49" s="14"/>
      <c r="K49" s="14"/>
    </row>
    <row r="50" spans="3:11" x14ac:dyDescent="0.25">
      <c r="C50" s="114"/>
      <c r="D50" s="114"/>
      <c r="E50" s="114"/>
      <c r="F50" s="114"/>
      <c r="G50" s="114"/>
      <c r="I50" s="14"/>
      <c r="J50" s="14"/>
      <c r="K50" s="14"/>
    </row>
  </sheetData>
  <mergeCells count="2">
    <mergeCell ref="A4:A5"/>
    <mergeCell ref="G16:G17"/>
  </mergeCells>
  <pageMargins left="0.39370078740157483" right="0.39370078740157483" top="0.39370078740157483" bottom="0.39370078740157483" header="0" footer="0"/>
  <pageSetup paperSize="9" scale="56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Equation.3" shapeId="15361" r:id="rId4">
          <objectPr defaultSize="0" autoPict="0" r:id="rId5">
            <anchor moveWithCells="1">
              <from>
                <xdr:col>0</xdr:col>
                <xdr:colOff>38100</xdr:colOff>
                <xdr:row>35</xdr:row>
                <xdr:rowOff>19050</xdr:rowOff>
              </from>
              <to>
                <xdr:col>0</xdr:col>
                <xdr:colOff>1057275</xdr:colOff>
                <xdr:row>36</xdr:row>
                <xdr:rowOff>66675</xdr:rowOff>
              </to>
            </anchor>
          </objectPr>
        </oleObject>
      </mc:Choice>
      <mc:Fallback>
        <oleObject progId="Equation.3" shapeId="15361" r:id="rId4"/>
      </mc:Fallback>
    </mc:AlternateContent>
    <mc:AlternateContent xmlns:mc="http://schemas.openxmlformats.org/markup-compatibility/2006">
      <mc:Choice Requires="x14">
        <oleObject progId="Equation.3" shapeId="15362" r:id="rId6">
          <objectPr defaultSize="0" autoPict="0" r:id="rId7">
            <anchor moveWithCells="1">
              <from>
                <xdr:col>2</xdr:col>
                <xdr:colOff>381000</xdr:colOff>
                <xdr:row>10</xdr:row>
                <xdr:rowOff>66675</xdr:rowOff>
              </from>
              <to>
                <xdr:col>3</xdr:col>
                <xdr:colOff>457200</xdr:colOff>
                <xdr:row>11</xdr:row>
                <xdr:rowOff>114300</xdr:rowOff>
              </to>
            </anchor>
          </objectPr>
        </oleObject>
      </mc:Choice>
      <mc:Fallback>
        <oleObject progId="Equation.3" shapeId="15362" r:id="rId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zoomScale="85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123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120</v>
      </c>
    </row>
    <row r="4" spans="1:23" x14ac:dyDescent="0.25">
      <c r="M4" s="1" t="s">
        <v>20</v>
      </c>
      <c r="O4" s="4" t="s">
        <v>21</v>
      </c>
      <c r="P4" s="7">
        <f>25.4*(1000/$E$9-10)</f>
        <v>98.777777777777786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2.3469409621772197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2010.3896282010064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0.85660000000000003</v>
      </c>
      <c r="F8" t="s">
        <v>63</v>
      </c>
      <c r="G8" s="14" t="s">
        <v>4</v>
      </c>
      <c r="H8" s="15">
        <v>856600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72</v>
      </c>
      <c r="M9" s="1" t="s">
        <v>66</v>
      </c>
      <c r="O9" s="4" t="s">
        <v>67</v>
      </c>
      <c r="P9" s="12">
        <f>(0.007*(((E18*E14)/0.3048)^0.8))/(((E10/25.4)^0.5)*(E21^0.4))</f>
        <v>0.15189208519630409</v>
      </c>
      <c r="Q9" s="1" t="s">
        <v>84</v>
      </c>
      <c r="R9" s="11" t="s">
        <v>4</v>
      </c>
      <c r="S9" s="6">
        <f>P9*60*60</f>
        <v>546.81150670669479</v>
      </c>
      <c r="T9" s="1" t="s">
        <v>5</v>
      </c>
      <c r="U9" s="11" t="s">
        <v>4</v>
      </c>
      <c r="V9" s="6">
        <f>S9/60</f>
        <v>9.1135251117782463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4.9114864821293E-2</v>
      </c>
      <c r="Q11" s="1" t="s">
        <v>84</v>
      </c>
      <c r="R11" s="11" t="s">
        <v>4</v>
      </c>
      <c r="S11" s="6">
        <f>P11*60*60</f>
        <v>176.81351335665479</v>
      </c>
      <c r="T11" s="1" t="s">
        <v>5</v>
      </c>
      <c r="U11" s="11" t="s">
        <v>4</v>
      </c>
      <c r="V11" s="6">
        <f>S11/60</f>
        <v>2.9468918892775799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2177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0.14601633958538351</v>
      </c>
      <c r="Q14" s="1" t="s">
        <v>84</v>
      </c>
      <c r="R14" s="11" t="s">
        <v>4</v>
      </c>
      <c r="S14" s="6">
        <f>P14*60*60</f>
        <v>525.65882250738071</v>
      </c>
      <c r="T14" s="1" t="s">
        <v>5</v>
      </c>
      <c r="U14" s="11" t="s">
        <v>4</v>
      </c>
      <c r="V14" s="6">
        <f>S14/60</f>
        <v>8.7609803751230118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213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1864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0.34702328960298062</v>
      </c>
      <c r="Q19" s="1" t="s">
        <v>84</v>
      </c>
      <c r="R19" s="11" t="s">
        <v>4</v>
      </c>
      <c r="S19" s="6">
        <f>P19*60*60</f>
        <v>1249.2838425707303</v>
      </c>
      <c r="T19" s="1" t="s">
        <v>5</v>
      </c>
      <c r="U19" s="11" t="s">
        <v>4</v>
      </c>
      <c r="V19" s="6">
        <f>S19/60</f>
        <v>20.821397376178837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0.65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0.12</v>
      </c>
      <c r="F23" t="s">
        <v>88</v>
      </c>
      <c r="M23" s="1" t="s">
        <v>103</v>
      </c>
      <c r="N23" s="1"/>
      <c r="O23" s="4" t="s">
        <v>104</v>
      </c>
      <c r="P23" s="22">
        <v>160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0.13831480642022925</v>
      </c>
      <c r="Q25" s="1" t="s">
        <v>26</v>
      </c>
      <c r="R25" s="19" t="s">
        <v>4</v>
      </c>
      <c r="S25" s="7">
        <f>P25*1000</f>
        <v>138.31480642022925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zoomScale="85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138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139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295.60441251448424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0.17505600000000002</v>
      </c>
      <c r="F8" t="s">
        <v>63</v>
      </c>
      <c r="G8" s="14" t="s">
        <v>4</v>
      </c>
      <c r="H8" s="15">
        <v>175056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0.12915125794033752</v>
      </c>
      <c r="Q9" s="1" t="s">
        <v>84</v>
      </c>
      <c r="R9" s="11" t="s">
        <v>4</v>
      </c>
      <c r="S9" s="6">
        <f>P9*60*60</f>
        <v>464.9445285852151</v>
      </c>
      <c r="T9" s="1" t="s">
        <v>5</v>
      </c>
      <c r="U9" s="11" t="s">
        <v>4</v>
      </c>
      <c r="V9" s="6">
        <f>S9/60</f>
        <v>7.7490754764202512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0.11032789601313391</v>
      </c>
      <c r="Q11" s="1" t="s">
        <v>84</v>
      </c>
      <c r="R11" s="11" t="s">
        <v>4</v>
      </c>
      <c r="S11" s="6">
        <f>P11*60*60</f>
        <v>397.18042564728205</v>
      </c>
      <c r="T11" s="1" t="s">
        <v>5</v>
      </c>
      <c r="U11" s="11" t="s">
        <v>4</v>
      </c>
      <c r="V11" s="6">
        <f>S11/60</f>
        <v>6.619673760788034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686</v>
      </c>
      <c r="M12" s="1" t="s">
        <v>46</v>
      </c>
      <c r="O12" s="4" t="s">
        <v>91</v>
      </c>
      <c r="P12" s="7">
        <f>4.918*(E22^0.5)</f>
        <v>1.4754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586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0.23947915395347141</v>
      </c>
      <c r="Q19" s="1" t="s">
        <v>84</v>
      </c>
      <c r="R19" s="11" t="s">
        <v>4</v>
      </c>
      <c r="S19" s="6">
        <f>P19*60*60</f>
        <v>862.12495423249709</v>
      </c>
      <c r="T19" s="1" t="s">
        <v>5</v>
      </c>
      <c r="U19" s="11" t="s">
        <v>4</v>
      </c>
      <c r="V19" s="6">
        <f>S19/60</f>
        <v>14.368749237208284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0.09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0.12</v>
      </c>
      <c r="F23" t="s">
        <v>88</v>
      </c>
      <c r="M23" s="1" t="s">
        <v>103</v>
      </c>
      <c r="N23" s="1"/>
      <c r="O23" s="4" t="s">
        <v>104</v>
      </c>
      <c r="P23" s="22">
        <v>170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2.16086825548088E-2</v>
      </c>
      <c r="Q25" s="1" t="s">
        <v>26</v>
      </c>
      <c r="R25" s="19" t="s">
        <v>4</v>
      </c>
      <c r="S25" s="7">
        <f>P25*1000</f>
        <v>21.608682554808802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zoomScale="85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124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125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295.60441251448424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0.17505600000000002</v>
      </c>
      <c r="F8" t="s">
        <v>63</v>
      </c>
      <c r="G8" s="14" t="s">
        <v>4</v>
      </c>
      <c r="H8" s="15">
        <v>175056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0.12915125794033752</v>
      </c>
      <c r="Q9" s="1" t="s">
        <v>84</v>
      </c>
      <c r="R9" s="11" t="s">
        <v>4</v>
      </c>
      <c r="S9" s="6">
        <f>P9*60*60</f>
        <v>464.9445285852151</v>
      </c>
      <c r="T9" s="1" t="s">
        <v>5</v>
      </c>
      <c r="U9" s="11" t="s">
        <v>4</v>
      </c>
      <c r="V9" s="6">
        <f>S9/60</f>
        <v>7.7490754764202512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0.11032789601313391</v>
      </c>
      <c r="Q11" s="1" t="s">
        <v>84</v>
      </c>
      <c r="R11" s="11" t="s">
        <v>4</v>
      </c>
      <c r="S11" s="6">
        <f>P11*60*60</f>
        <v>397.18042564728205</v>
      </c>
      <c r="T11" s="1" t="s">
        <v>5</v>
      </c>
      <c r="U11" s="11" t="s">
        <v>4</v>
      </c>
      <c r="V11" s="6">
        <f>S11/60</f>
        <v>6.619673760788034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686</v>
      </c>
      <c r="M12" s="1" t="s">
        <v>46</v>
      </c>
      <c r="O12" s="4" t="s">
        <v>91</v>
      </c>
      <c r="P12" s="7">
        <f>4.918*(E22^0.5)</f>
        <v>1.4754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586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0.23947915395347141</v>
      </c>
      <c r="Q19" s="1" t="s">
        <v>84</v>
      </c>
      <c r="R19" s="11" t="s">
        <v>4</v>
      </c>
      <c r="S19" s="6">
        <f>P19*60*60</f>
        <v>862.12495423249709</v>
      </c>
      <c r="T19" s="1" t="s">
        <v>5</v>
      </c>
      <c r="U19" s="11" t="s">
        <v>4</v>
      </c>
      <c r="V19" s="6">
        <f>S19/60</f>
        <v>14.368749237208284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0.09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0.12</v>
      </c>
      <c r="F23" t="s">
        <v>88</v>
      </c>
      <c r="M23" s="1" t="s">
        <v>103</v>
      </c>
      <c r="N23" s="1"/>
      <c r="O23" s="4" t="s">
        <v>104</v>
      </c>
      <c r="P23" s="22">
        <v>170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2.16086825548088E-2</v>
      </c>
      <c r="Q25" s="1" t="s">
        <v>26</v>
      </c>
      <c r="R25" s="19" t="s">
        <v>4</v>
      </c>
      <c r="S25" s="7">
        <f>P25*1000</f>
        <v>21.608682554808802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topLeftCell="C1" zoomScale="85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126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127</v>
      </c>
    </row>
    <row r="4" spans="1:23" x14ac:dyDescent="0.25">
      <c r="M4" s="1" t="s">
        <v>20</v>
      </c>
      <c r="O4" s="4" t="s">
        <v>21</v>
      </c>
      <c r="P4" s="7">
        <f>25.4*(1000/$E$9-10)</f>
        <v>98.777777777777786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2.3469409621772197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2034.8424060859309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0.86701899999999998</v>
      </c>
      <c r="F8" t="s">
        <v>63</v>
      </c>
      <c r="G8" s="14" t="s">
        <v>4</v>
      </c>
      <c r="H8" s="15">
        <v>867019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72</v>
      </c>
      <c r="M9" s="1" t="s">
        <v>66</v>
      </c>
      <c r="O9" s="4" t="s">
        <v>67</v>
      </c>
      <c r="P9" s="12">
        <f>(0.007*(((E18*E14)/0.3048)^0.8))/(((E10/25.4)^0.5)*(E21^0.4))</f>
        <v>0.15189208519630409</v>
      </c>
      <c r="Q9" s="1" t="s">
        <v>84</v>
      </c>
      <c r="R9" s="11" t="s">
        <v>4</v>
      </c>
      <c r="S9" s="6">
        <f>P9*60*60</f>
        <v>546.81150670669479</v>
      </c>
      <c r="T9" s="1" t="s">
        <v>5</v>
      </c>
      <c r="U9" s="11" t="s">
        <v>4</v>
      </c>
      <c r="V9" s="6">
        <f>S9/60</f>
        <v>9.1135251117782463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4.9114864821293E-2</v>
      </c>
      <c r="Q11" s="1" t="s">
        <v>84</v>
      </c>
      <c r="R11" s="11" t="s">
        <v>4</v>
      </c>
      <c r="S11" s="6">
        <f>P11*60*60</f>
        <v>176.81351335665479</v>
      </c>
      <c r="T11" s="1" t="s">
        <v>5</v>
      </c>
      <c r="U11" s="11" t="s">
        <v>4</v>
      </c>
      <c r="V11" s="6">
        <f>S11/60</f>
        <v>2.9468918892775799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2177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0.14601633958538351</v>
      </c>
      <c r="Q14" s="1" t="s">
        <v>84</v>
      </c>
      <c r="R14" s="11" t="s">
        <v>4</v>
      </c>
      <c r="S14" s="6">
        <f>P14*60*60</f>
        <v>525.65882250738071</v>
      </c>
      <c r="T14" s="1" t="s">
        <v>5</v>
      </c>
      <c r="U14" s="11" t="s">
        <v>4</v>
      </c>
      <c r="V14" s="6">
        <f>S14/60</f>
        <v>8.7609803751230118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213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1864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0.34702328960298062</v>
      </c>
      <c r="Q19" s="1" t="s">
        <v>84</v>
      </c>
      <c r="R19" s="11" t="s">
        <v>4</v>
      </c>
      <c r="S19" s="6">
        <f>P19*60*60</f>
        <v>1249.2838425707303</v>
      </c>
      <c r="T19" s="1" t="s">
        <v>5</v>
      </c>
      <c r="U19" s="11" t="s">
        <v>4</v>
      </c>
      <c r="V19" s="6">
        <f>S19/60</f>
        <v>20.821397376178837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0.65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0.12</v>
      </c>
      <c r="F23" t="s">
        <v>88</v>
      </c>
      <c r="M23" s="1" t="s">
        <v>103</v>
      </c>
      <c r="N23" s="1"/>
      <c r="O23" s="4" t="s">
        <v>104</v>
      </c>
      <c r="P23" s="22">
        <v>160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0.13999715753871203</v>
      </c>
      <c r="Q25" s="1" t="s">
        <v>26</v>
      </c>
      <c r="R25" s="19" t="s">
        <v>4</v>
      </c>
      <c r="S25" s="7">
        <f>P25*1000</f>
        <v>139.99715753871203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zoomScale="85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128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129</v>
      </c>
    </row>
    <row r="4" spans="1:23" x14ac:dyDescent="0.25">
      <c r="M4" s="1" t="s">
        <v>20</v>
      </c>
      <c r="O4" s="4" t="s">
        <v>21</v>
      </c>
      <c r="P4" s="7">
        <f>25.4*(1000/$E$9-10)</f>
        <v>84.666666666666671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3.5715629677143479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6290.7117166132157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1.761333</v>
      </c>
      <c r="F8" t="s">
        <v>63</v>
      </c>
      <c r="G8" s="14" t="s">
        <v>4</v>
      </c>
      <c r="H8" s="15">
        <v>1761333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75</v>
      </c>
      <c r="M9" s="1" t="s">
        <v>66</v>
      </c>
      <c r="O9" s="4" t="s">
        <v>67</v>
      </c>
      <c r="P9" s="12">
        <f>(0.007*(((E18*E14)/0.3048)^0.8))/(((E10/25.4)^0.5)*(E21^0.4))</f>
        <v>0.1428092795955816</v>
      </c>
      <c r="Q9" s="1" t="s">
        <v>84</v>
      </c>
      <c r="R9" s="11" t="s">
        <v>4</v>
      </c>
      <c r="S9" s="6">
        <f>P9*60*60</f>
        <v>514.11340654409378</v>
      </c>
      <c r="T9" s="1" t="s">
        <v>5</v>
      </c>
      <c r="U9" s="11" t="s">
        <v>4</v>
      </c>
      <c r="V9" s="6">
        <f>S9/60</f>
        <v>8.5685567757348959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6.789579820258522E-2</v>
      </c>
      <c r="Q11" s="1" t="s">
        <v>84</v>
      </c>
      <c r="R11" s="11" t="s">
        <v>4</v>
      </c>
      <c r="S11" s="6">
        <f>P11*60*60</f>
        <v>244.42487352930681</v>
      </c>
      <c r="T11" s="1" t="s">
        <v>5</v>
      </c>
      <c r="U11" s="11" t="s">
        <v>4</v>
      </c>
      <c r="V11" s="6">
        <f>S11/60</f>
        <v>4.0737478921551133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2640</v>
      </c>
      <c r="M12" s="1" t="s">
        <v>46</v>
      </c>
      <c r="O12" s="4" t="s">
        <v>91</v>
      </c>
      <c r="P12" s="7">
        <f>4.918*(E22^0.5)</f>
        <v>1.3910204599501763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0.26698314877132745</v>
      </c>
      <c r="Q14" s="1" t="s">
        <v>84</v>
      </c>
      <c r="R14" s="11" t="s">
        <v>4</v>
      </c>
      <c r="S14" s="6">
        <f>P14*60*60</f>
        <v>961.13933557677888</v>
      </c>
      <c r="T14" s="1" t="s">
        <v>5</v>
      </c>
      <c r="U14" s="11" t="s">
        <v>4</v>
      </c>
      <c r="V14" s="6">
        <f>S14/60</f>
        <v>16.018988926279647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340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2200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0.47768822656949428</v>
      </c>
      <c r="Q19" s="1" t="s">
        <v>84</v>
      </c>
      <c r="R19" s="11" t="s">
        <v>4</v>
      </c>
      <c r="S19" s="6">
        <f>P19*60*60</f>
        <v>1719.6776156501794</v>
      </c>
      <c r="T19" s="1" t="s">
        <v>5</v>
      </c>
      <c r="U19" s="11" t="s">
        <v>4</v>
      </c>
      <c r="V19" s="6">
        <f>S19/60</f>
        <v>28.661293594169656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7.0000000000000007E-2</v>
      </c>
      <c r="F21" t="s">
        <v>88</v>
      </c>
      <c r="M21" s="1" t="s">
        <v>102</v>
      </c>
      <c r="O21" s="4"/>
      <c r="P21" s="21">
        <v>0.52</v>
      </c>
      <c r="Q21" s="1"/>
    </row>
    <row r="22" spans="1:23" ht="18" x14ac:dyDescent="0.35">
      <c r="A22" t="s">
        <v>79</v>
      </c>
      <c r="D22" s="3" t="s">
        <v>82</v>
      </c>
      <c r="E22" s="13">
        <v>0.08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0.05</v>
      </c>
      <c r="F23" t="s">
        <v>88</v>
      </c>
      <c r="M23" s="1" t="s">
        <v>103</v>
      </c>
      <c r="N23" s="1"/>
      <c r="O23" s="4" t="s">
        <v>104</v>
      </c>
      <c r="P23" s="22">
        <v>230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0.62215138877304699</v>
      </c>
      <c r="Q25" s="1" t="s">
        <v>26</v>
      </c>
      <c r="R25" s="19" t="s">
        <v>4</v>
      </c>
      <c r="S25" s="7">
        <f>P25*1000</f>
        <v>622.15138877304696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zoomScale="85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130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131</v>
      </c>
    </row>
    <row r="4" spans="1:23" x14ac:dyDescent="0.25">
      <c r="M4" s="1" t="s">
        <v>20</v>
      </c>
      <c r="O4" s="4" t="s">
        <v>21</v>
      </c>
      <c r="P4" s="7">
        <f>25.4*(1000/$E$9-10)</f>
        <v>119.52941176470586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1.1465732209885304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2019.4972510433913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1.761333</v>
      </c>
      <c r="F8" t="s">
        <v>63</v>
      </c>
      <c r="G8" s="14" t="s">
        <v>4</v>
      </c>
      <c r="H8" s="15">
        <v>1761333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68</v>
      </c>
      <c r="M9" s="1" t="s">
        <v>66</v>
      </c>
      <c r="O9" s="4" t="s">
        <v>67</v>
      </c>
      <c r="P9" s="12">
        <f>(0.007*(((E18*E14)/0.3048)^0.8))/(((E10/25.4)^0.5)*(E21^0.4))</f>
        <v>0.15189208519630409</v>
      </c>
      <c r="Q9" s="1" t="s">
        <v>84</v>
      </c>
      <c r="R9" s="11" t="s">
        <v>4</v>
      </c>
      <c r="S9" s="6">
        <f>P9*60*60</f>
        <v>546.81150670669479</v>
      </c>
      <c r="T9" s="1" t="s">
        <v>5</v>
      </c>
      <c r="U9" s="11" t="s">
        <v>4</v>
      </c>
      <c r="V9" s="6">
        <f>S9/60</f>
        <v>9.1135251117782463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8.5316901332762492E-3</v>
      </c>
      <c r="Q11" s="1" t="s">
        <v>84</v>
      </c>
      <c r="R11" s="11" t="s">
        <v>4</v>
      </c>
      <c r="S11" s="6">
        <f>P11*60*60</f>
        <v>30.714084479794494</v>
      </c>
      <c r="T11" s="1" t="s">
        <v>5</v>
      </c>
      <c r="U11" s="11" t="s">
        <v>4</v>
      </c>
      <c r="V11" s="6">
        <f>S11/60</f>
        <v>0.51190140799657491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304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1.6022034028314047E-2</v>
      </c>
      <c r="Q14" s="1" t="s">
        <v>84</v>
      </c>
      <c r="R14" s="11" t="s">
        <v>4</v>
      </c>
      <c r="S14" s="6">
        <f>P14*60*60</f>
        <v>57.679322501930571</v>
      </c>
      <c r="T14" s="1" t="s">
        <v>5</v>
      </c>
      <c r="U14" s="11" t="s">
        <v>4</v>
      </c>
      <c r="V14" s="6">
        <f>S14/60</f>
        <v>0.96132204169884283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37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167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2.8953183351695992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0.17644580935789439</v>
      </c>
      <c r="Q19" s="1" t="s">
        <v>84</v>
      </c>
      <c r="R19" s="11" t="s">
        <v>4</v>
      </c>
      <c r="S19" s="6">
        <f>P19*60*60</f>
        <v>635.20491368841988</v>
      </c>
      <c r="T19" s="1" t="s">
        <v>5</v>
      </c>
      <c r="U19" s="11" t="s">
        <v>4</v>
      </c>
      <c r="V19" s="6">
        <f>S19/60</f>
        <v>10.586748561473664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0.73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0.08</v>
      </c>
      <c r="F23" t="s">
        <v>88</v>
      </c>
      <c r="M23" s="1" t="s">
        <v>103</v>
      </c>
      <c r="N23" s="1"/>
      <c r="O23" s="4" t="s">
        <v>104</v>
      </c>
      <c r="P23" s="22">
        <v>140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0.12157373451281214</v>
      </c>
      <c r="Q25" s="1" t="s">
        <v>26</v>
      </c>
      <c r="R25" s="19" t="s">
        <v>4</v>
      </c>
      <c r="S25" s="7">
        <f>P25*1000</f>
        <v>121.57373451281214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zoomScale="85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132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133</v>
      </c>
    </row>
    <row r="4" spans="1:23" x14ac:dyDescent="0.25">
      <c r="M4" s="1" t="s">
        <v>20</v>
      </c>
      <c r="O4" s="4" t="s">
        <v>21</v>
      </c>
      <c r="P4" s="7">
        <f>25.4*(1000/$E$9-10)</f>
        <v>55.756097560975611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7.7648951285770025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3185.315279644858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0.41022000000000003</v>
      </c>
      <c r="F8" t="s">
        <v>63</v>
      </c>
      <c r="G8" s="14" t="s">
        <v>4</v>
      </c>
      <c r="H8" s="15">
        <v>410220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82</v>
      </c>
      <c r="M9" s="1" t="s">
        <v>66</v>
      </c>
      <c r="O9" s="4" t="s">
        <v>67</v>
      </c>
      <c r="P9" s="12">
        <f>(0.007*(((E18*E14)/0.3048)^0.8))/(((E10/25.4)^0.5)*(E21^0.4))</f>
        <v>0.20042280800031367</v>
      </c>
      <c r="Q9" s="1" t="s">
        <v>84</v>
      </c>
      <c r="R9" s="11" t="s">
        <v>4</v>
      </c>
      <c r="S9" s="6">
        <f>P9*60*60</f>
        <v>721.52210880112921</v>
      </c>
      <c r="T9" s="1" t="s">
        <v>5</v>
      </c>
      <c r="U9" s="11" t="s">
        <v>4</v>
      </c>
      <c r="V9" s="6">
        <f>S9/60</f>
        <v>12.02536848001882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0.14524186515096235</v>
      </c>
      <c r="Q11" s="1" t="s">
        <v>84</v>
      </c>
      <c r="R11" s="11" t="s">
        <v>4</v>
      </c>
      <c r="S11" s="6">
        <f>P11*60*60</f>
        <v>522.87071454346449</v>
      </c>
      <c r="T11" s="1" t="s">
        <v>5</v>
      </c>
      <c r="U11" s="11" t="s">
        <v>4</v>
      </c>
      <c r="V11" s="6">
        <f>S11/60</f>
        <v>8.714511909057741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1088</v>
      </c>
      <c r="M12" s="1" t="s">
        <v>46</v>
      </c>
      <c r="O12" s="4" t="s">
        <v>91</v>
      </c>
      <c r="P12" s="7">
        <f>4.918*(E22^0.5)</f>
        <v>1.0996982313343966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4.2359146783447869E-2</v>
      </c>
      <c r="Q14" s="1" t="s">
        <v>84</v>
      </c>
      <c r="R14" s="11" t="s">
        <v>4</v>
      </c>
      <c r="S14" s="6">
        <f>P14*60*60</f>
        <v>152.49292842041234</v>
      </c>
      <c r="T14" s="1" t="s">
        <v>5</v>
      </c>
      <c r="U14" s="11" t="s">
        <v>4</v>
      </c>
      <c r="V14" s="6">
        <f>S14/60</f>
        <v>2.5415488070068721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575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413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0.3880238199347239</v>
      </c>
      <c r="Q19" s="1" t="s">
        <v>84</v>
      </c>
      <c r="R19" s="11" t="s">
        <v>4</v>
      </c>
      <c r="S19" s="6">
        <f>P19*60*60</f>
        <v>1396.885751765006</v>
      </c>
      <c r="T19" s="1" t="s">
        <v>5</v>
      </c>
      <c r="U19" s="11" t="s">
        <v>4</v>
      </c>
      <c r="V19" s="6">
        <f>S19/60</f>
        <v>23.281429196083433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0.03</v>
      </c>
      <c r="F21" t="s">
        <v>88</v>
      </c>
      <c r="M21" s="1" t="s">
        <v>102</v>
      </c>
      <c r="O21" s="4"/>
      <c r="P21" s="21">
        <v>0.35</v>
      </c>
      <c r="Q21" s="1"/>
    </row>
    <row r="22" spans="1:23" ht="18" x14ac:dyDescent="0.35">
      <c r="A22" t="s">
        <v>79</v>
      </c>
      <c r="D22" s="3" t="s">
        <v>82</v>
      </c>
      <c r="E22" s="13">
        <v>0.05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450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0.61635850661128011</v>
      </c>
      <c r="Q25" s="1" t="s">
        <v>26</v>
      </c>
      <c r="R25" s="19" t="s">
        <v>4</v>
      </c>
      <c r="S25" s="7">
        <f>P25*1000</f>
        <v>616.35850661128006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zoomScale="85" zoomScalePageLayoutView="85" workbookViewId="0">
      <selection activeCell="E4" sqref="E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134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157</v>
      </c>
    </row>
    <row r="4" spans="1:23" x14ac:dyDescent="0.25">
      <c r="M4" s="1" t="s">
        <v>20</v>
      </c>
      <c r="O4" s="4" t="s">
        <v>21</v>
      </c>
      <c r="P4" s="7">
        <f>25.4*(1000/$E$9-10)</f>
        <v>84.666666666666671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3.5715629677143479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464.77463211460355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0.130132</v>
      </c>
      <c r="F8" t="s">
        <v>63</v>
      </c>
      <c r="G8" s="14" t="s">
        <v>4</v>
      </c>
      <c r="H8" s="15">
        <v>130132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75</v>
      </c>
      <c r="M9" s="1" t="s">
        <v>66</v>
      </c>
      <c r="O9" s="4" t="s">
        <v>67</v>
      </c>
      <c r="P9" s="12">
        <f>(0.007*(((E18*E14)/0.3048)^0.8))/(((E10/25.4)^0.5)*(E21^0.4))</f>
        <v>0.17863709508690376</v>
      </c>
      <c r="Q9" s="1" t="s">
        <v>84</v>
      </c>
      <c r="R9" s="11" t="s">
        <v>4</v>
      </c>
      <c r="S9" s="6">
        <f>P9*60*60</f>
        <v>643.09354231285351</v>
      </c>
      <c r="T9" s="1" t="s">
        <v>5</v>
      </c>
      <c r="U9" s="11" t="s">
        <v>4</v>
      </c>
      <c r="V9" s="6">
        <f>S9/60</f>
        <v>10.718225705214225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5.7901731257308547E-2</v>
      </c>
      <c r="Q11" s="1" t="s">
        <v>84</v>
      </c>
      <c r="R11" s="11" t="s">
        <v>4</v>
      </c>
      <c r="S11" s="6">
        <f>P11*60*60</f>
        <v>208.44623252631075</v>
      </c>
      <c r="T11" s="1" t="s">
        <v>5</v>
      </c>
      <c r="U11" s="11" t="s">
        <v>4</v>
      </c>
      <c r="V11" s="6">
        <f>S11/60</f>
        <v>3.4741038754385127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440</v>
      </c>
      <c r="M12" s="1" t="s">
        <v>46</v>
      </c>
      <c r="O12" s="4" t="s">
        <v>91</v>
      </c>
      <c r="P12" s="7">
        <f>4.918*(E22^0.5)</f>
        <v>1.6311160718967856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340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0.23653882634421231</v>
      </c>
      <c r="Q19" s="1" t="s">
        <v>84</v>
      </c>
      <c r="R19" s="11" t="s">
        <v>4</v>
      </c>
      <c r="S19" s="6">
        <f>P19*60*60</f>
        <v>851.53977483916435</v>
      </c>
      <c r="T19" s="1" t="s">
        <v>5</v>
      </c>
      <c r="U19" s="11" t="s">
        <v>4</v>
      </c>
      <c r="V19" s="6">
        <f>S19/60</f>
        <v>14.192329580652739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0.52</v>
      </c>
      <c r="Q21" s="1"/>
    </row>
    <row r="22" spans="1:23" ht="18" x14ac:dyDescent="0.35">
      <c r="A22" t="s">
        <v>79</v>
      </c>
      <c r="D22" s="3" t="s">
        <v>82</v>
      </c>
      <c r="E22" s="13">
        <v>0.11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350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6.9948582133247825E-2</v>
      </c>
      <c r="Q25" s="1" t="s">
        <v>26</v>
      </c>
      <c r="R25" s="19" t="s">
        <v>4</v>
      </c>
      <c r="S25" s="7">
        <f>P25*1000</f>
        <v>69.948582133247825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zoomScale="85" zoomScalePageLayoutView="85" workbookViewId="0">
      <selection activeCell="N43" sqref="N43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135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136</v>
      </c>
    </row>
    <row r="4" spans="1:23" x14ac:dyDescent="0.25">
      <c r="M4" s="1" t="s">
        <v>20</v>
      </c>
      <c r="O4" s="4" t="s">
        <v>21</v>
      </c>
      <c r="P4" s="7">
        <f>25.4*(1000/$E$9-10)</f>
        <v>84.666666666666671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3.5715629677143479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60.359414154372473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1.6899999999999998E-2</v>
      </c>
      <c r="F8" t="s">
        <v>63</v>
      </c>
      <c r="G8" s="14" t="s">
        <v>4</v>
      </c>
      <c r="H8" s="15">
        <v>16900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75</v>
      </c>
      <c r="M9" s="1" t="s">
        <v>66</v>
      </c>
      <c r="O9" s="4" t="s">
        <v>67</v>
      </c>
      <c r="P9" s="12">
        <f>(0.007*(((E18*E14)/0.3048)^0.8))/(((E10/25.4)^0.5)*(E21^0.4))</f>
        <v>0.12915125794033752</v>
      </c>
      <c r="Q9" s="1" t="s">
        <v>84</v>
      </c>
      <c r="R9" s="11" t="s">
        <v>4</v>
      </c>
      <c r="S9" s="6">
        <f>P9*60*60</f>
        <v>464.9445285852151</v>
      </c>
      <c r="T9" s="1" t="s">
        <v>5</v>
      </c>
      <c r="U9" s="11" t="s">
        <v>4</v>
      </c>
      <c r="V9" s="6">
        <f>S9/60</f>
        <v>7.7490754764202512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7.04385611517096E-2</v>
      </c>
      <c r="Q11" s="1" t="s">
        <v>84</v>
      </c>
      <c r="R11" s="11" t="s">
        <v>4</v>
      </c>
      <c r="S11" s="6">
        <f>P11*60*60</f>
        <v>253.57882014615458</v>
      </c>
      <c r="T11" s="1" t="s">
        <v>5</v>
      </c>
      <c r="U11" s="11" t="s">
        <v>4</v>
      </c>
      <c r="V11" s="6">
        <f>S11/60</f>
        <v>4.2263136691025762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583</v>
      </c>
      <c r="M12" s="1" t="s">
        <v>46</v>
      </c>
      <c r="O12" s="4" t="s">
        <v>91</v>
      </c>
      <c r="P12" s="7">
        <f>4.918*(E22^0.5)</f>
        <v>1.9047332096648077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483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0.19958981909204712</v>
      </c>
      <c r="Q19" s="1" t="s">
        <v>84</v>
      </c>
      <c r="R19" s="11" t="s">
        <v>4</v>
      </c>
      <c r="S19" s="6">
        <f>P19*60*60</f>
        <v>718.52334873136965</v>
      </c>
      <c r="T19" s="1" t="s">
        <v>5</v>
      </c>
      <c r="U19" s="11" t="s">
        <v>4</v>
      </c>
      <c r="V19" s="6">
        <f>S19/60</f>
        <v>11.975389145522827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0.52</v>
      </c>
      <c r="Q21" s="1"/>
    </row>
    <row r="22" spans="1:23" ht="18" x14ac:dyDescent="0.35">
      <c r="A22" t="s">
        <v>79</v>
      </c>
      <c r="D22" s="3" t="s">
        <v>82</v>
      </c>
      <c r="E22" s="13">
        <v>0.15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360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9.3436373110968585E-3</v>
      </c>
      <c r="Q25" s="1" t="s">
        <v>26</v>
      </c>
      <c r="R25" s="19" t="s">
        <v>4</v>
      </c>
      <c r="S25" s="7">
        <f>P25*1000</f>
        <v>9.3436373110968578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70" zoomScaleNormal="70" zoomScalePageLayoutView="70" workbookViewId="0">
      <selection activeCell="E22" sqref="E22"/>
    </sheetView>
  </sheetViews>
  <sheetFormatPr defaultRowHeight="15" x14ac:dyDescent="0.25"/>
  <cols>
    <col min="2" max="2" width="2.42578125" customWidth="1"/>
    <col min="3" max="3" width="21.7109375" customWidth="1"/>
    <col min="7" max="7" width="5" customWidth="1"/>
  </cols>
  <sheetData>
    <row r="1" spans="1:9" ht="18.75" x14ac:dyDescent="0.3">
      <c r="A1" s="2" t="s">
        <v>141</v>
      </c>
    </row>
    <row r="3" spans="1:9" x14ac:dyDescent="0.25">
      <c r="A3" t="s">
        <v>142</v>
      </c>
    </row>
    <row r="5" spans="1:9" x14ac:dyDescent="0.25">
      <c r="A5" t="s">
        <v>143</v>
      </c>
      <c r="B5" s="25"/>
      <c r="C5" s="25"/>
      <c r="D5" s="25"/>
      <c r="E5" s="25"/>
      <c r="F5" s="25"/>
      <c r="G5" s="25"/>
      <c r="H5" s="25"/>
      <c r="I5" s="25"/>
    </row>
    <row r="6" spans="1:9" x14ac:dyDescent="0.25">
      <c r="A6" s="26"/>
      <c r="B6" s="25"/>
      <c r="C6" s="25"/>
      <c r="D6" s="25"/>
      <c r="E6" s="25"/>
      <c r="F6" s="25"/>
      <c r="G6" s="25"/>
      <c r="H6" s="25"/>
      <c r="I6" s="25"/>
    </row>
    <row r="7" spans="1:9" x14ac:dyDescent="0.25">
      <c r="D7" s="25"/>
      <c r="E7" s="25"/>
      <c r="F7" s="25"/>
      <c r="G7" s="25"/>
      <c r="H7" s="25"/>
      <c r="I7" s="25"/>
    </row>
    <row r="8" spans="1:9" ht="18.75" x14ac:dyDescent="0.35">
      <c r="D8" s="25" t="s">
        <v>0</v>
      </c>
      <c r="E8" t="s">
        <v>144</v>
      </c>
      <c r="F8" t="s">
        <v>145</v>
      </c>
    </row>
    <row r="9" spans="1:9" ht="18.75" x14ac:dyDescent="0.35">
      <c r="E9" t="s">
        <v>146</v>
      </c>
      <c r="F9" t="s">
        <v>147</v>
      </c>
    </row>
    <row r="10" spans="1:9" x14ac:dyDescent="0.25">
      <c r="A10" s="26"/>
      <c r="B10" s="26"/>
    </row>
    <row r="13" spans="1:9" x14ac:dyDescent="0.25">
      <c r="A13" s="5" t="s">
        <v>61</v>
      </c>
    </row>
    <row r="15" spans="1:9" x14ac:dyDescent="0.25">
      <c r="A15" t="s">
        <v>148</v>
      </c>
      <c r="D15" t="s">
        <v>149</v>
      </c>
      <c r="E15" s="27">
        <v>5.99</v>
      </c>
      <c r="F15" t="s">
        <v>150</v>
      </c>
    </row>
    <row r="16" spans="1:9" x14ac:dyDescent="0.25">
      <c r="A16" t="s">
        <v>151</v>
      </c>
      <c r="D16" t="s">
        <v>152</v>
      </c>
      <c r="E16" s="27">
        <v>2.8</v>
      </c>
      <c r="F16" t="s">
        <v>150</v>
      </c>
    </row>
    <row r="18" spans="1:6" x14ac:dyDescent="0.25">
      <c r="A18" t="s">
        <v>153</v>
      </c>
      <c r="D18" t="s">
        <v>154</v>
      </c>
      <c r="E18" s="27">
        <f>'(32)'!S25</f>
        <v>982.79210160039315</v>
      </c>
      <c r="F18" t="s">
        <v>112</v>
      </c>
    </row>
    <row r="20" spans="1:6" x14ac:dyDescent="0.25">
      <c r="A20" s="5" t="s">
        <v>1</v>
      </c>
    </row>
    <row r="22" spans="1:6" x14ac:dyDescent="0.25">
      <c r="A22" s="1" t="s">
        <v>155</v>
      </c>
      <c r="D22" s="1" t="s">
        <v>156</v>
      </c>
      <c r="E22" s="7">
        <f>(SQRT(E16/E15))*E18</f>
        <v>671.93499788851136</v>
      </c>
      <c r="F22" s="1" t="s">
        <v>112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9"/>
  <sheetViews>
    <sheetView view="pageLayout" topLeftCell="A37" zoomScale="115" zoomScaleNormal="70" zoomScalePageLayoutView="115" workbookViewId="0">
      <selection activeCell="G18" sqref="G18"/>
    </sheetView>
  </sheetViews>
  <sheetFormatPr defaultRowHeight="15" x14ac:dyDescent="0.25"/>
  <cols>
    <col min="2" max="2" width="2.42578125" customWidth="1"/>
    <col min="3" max="3" width="21.7109375" customWidth="1"/>
    <col min="7" max="7" width="5" customWidth="1"/>
  </cols>
  <sheetData>
    <row r="1" spans="1:8" ht="18.75" x14ac:dyDescent="0.3">
      <c r="A1" s="2" t="s">
        <v>31</v>
      </c>
    </row>
    <row r="4" spans="1:8" x14ac:dyDescent="0.25">
      <c r="A4" t="s">
        <v>35</v>
      </c>
    </row>
    <row r="6" spans="1:8" ht="18" x14ac:dyDescent="0.35">
      <c r="A6" t="s">
        <v>6</v>
      </c>
      <c r="F6" t="s">
        <v>0</v>
      </c>
      <c r="G6" t="s">
        <v>7</v>
      </c>
    </row>
    <row r="7" spans="1:8" ht="18" x14ac:dyDescent="0.35">
      <c r="G7" t="s">
        <v>8</v>
      </c>
    </row>
    <row r="8" spans="1:8" x14ac:dyDescent="0.25">
      <c r="G8" t="s">
        <v>9</v>
      </c>
    </row>
    <row r="10" spans="1:8" x14ac:dyDescent="0.25">
      <c r="A10" t="s">
        <v>10</v>
      </c>
      <c r="G10" t="s">
        <v>0</v>
      </c>
      <c r="H10" t="s">
        <v>9</v>
      </c>
    </row>
    <row r="11" spans="1:8" x14ac:dyDescent="0.25">
      <c r="H11" t="s">
        <v>11</v>
      </c>
    </row>
    <row r="15" spans="1:8" ht="18.75" x14ac:dyDescent="0.35">
      <c r="A15" t="s">
        <v>12</v>
      </c>
      <c r="G15" t="s">
        <v>0</v>
      </c>
      <c r="H15" t="s">
        <v>13</v>
      </c>
    </row>
    <row r="16" spans="1:8" ht="17.25" x14ac:dyDescent="0.25">
      <c r="H16" t="s">
        <v>14</v>
      </c>
    </row>
    <row r="17" spans="1:8" ht="18" x14ac:dyDescent="0.35">
      <c r="H17" t="s">
        <v>7</v>
      </c>
    </row>
    <row r="19" spans="1:8" ht="18.75" x14ac:dyDescent="0.35">
      <c r="A19" t="s">
        <v>15</v>
      </c>
      <c r="G19" t="s">
        <v>0</v>
      </c>
      <c r="H19" t="s">
        <v>27</v>
      </c>
    </row>
    <row r="20" spans="1:8" ht="18" x14ac:dyDescent="0.35">
      <c r="H20" t="s">
        <v>32</v>
      </c>
    </row>
    <row r="21" spans="1:8" x14ac:dyDescent="0.25">
      <c r="H21" t="s">
        <v>33</v>
      </c>
    </row>
    <row r="22" spans="1:8" ht="18.75" x14ac:dyDescent="0.35">
      <c r="H22" t="s">
        <v>28</v>
      </c>
    </row>
    <row r="23" spans="1:8" ht="18" x14ac:dyDescent="0.35">
      <c r="H23" t="s">
        <v>29</v>
      </c>
    </row>
    <row r="24" spans="1:8" x14ac:dyDescent="0.25">
      <c r="H24" t="s">
        <v>30</v>
      </c>
    </row>
    <row r="31" spans="1:8" ht="18.75" x14ac:dyDescent="0.3">
      <c r="A31" s="2" t="s">
        <v>34</v>
      </c>
    </row>
    <row r="33" spans="1:8" x14ac:dyDescent="0.25">
      <c r="A33" t="s">
        <v>36</v>
      </c>
    </row>
    <row r="35" spans="1:8" ht="18" x14ac:dyDescent="0.35">
      <c r="D35" t="s">
        <v>0</v>
      </c>
      <c r="E35" t="s">
        <v>37</v>
      </c>
    </row>
    <row r="36" spans="1:8" x14ac:dyDescent="0.25">
      <c r="E36" t="s">
        <v>38</v>
      </c>
    </row>
    <row r="37" spans="1:8" x14ac:dyDescent="0.25">
      <c r="E37" t="s">
        <v>39</v>
      </c>
    </row>
    <row r="38" spans="1:8" ht="18" x14ac:dyDescent="0.35">
      <c r="E38" t="s">
        <v>40</v>
      </c>
    </row>
    <row r="39" spans="1:8" x14ac:dyDescent="0.25">
      <c r="E39" t="s">
        <v>41</v>
      </c>
    </row>
    <row r="42" spans="1:8" ht="18" x14ac:dyDescent="0.35">
      <c r="G42" t="s">
        <v>0</v>
      </c>
      <c r="H42" t="s">
        <v>43</v>
      </c>
    </row>
    <row r="43" spans="1:8" x14ac:dyDescent="0.25">
      <c r="A43" t="s">
        <v>42</v>
      </c>
      <c r="H43" t="s">
        <v>44</v>
      </c>
    </row>
    <row r="44" spans="1:8" x14ac:dyDescent="0.25">
      <c r="H44" t="s">
        <v>45</v>
      </c>
    </row>
    <row r="46" spans="1:8" ht="17.25" x14ac:dyDescent="0.25">
      <c r="C46" s="10" t="s">
        <v>46</v>
      </c>
      <c r="D46" s="10" t="s">
        <v>47</v>
      </c>
      <c r="G46" s="8" t="s">
        <v>0</v>
      </c>
      <c r="H46" t="s">
        <v>45</v>
      </c>
    </row>
    <row r="47" spans="1:8" ht="17.25" x14ac:dyDescent="0.25">
      <c r="D47" s="10" t="s">
        <v>48</v>
      </c>
      <c r="H47" t="s">
        <v>49</v>
      </c>
    </row>
    <row r="49" spans="1:6" ht="18" x14ac:dyDescent="0.35">
      <c r="A49" t="s">
        <v>51</v>
      </c>
      <c r="E49" t="s">
        <v>0</v>
      </c>
      <c r="F49" t="s">
        <v>43</v>
      </c>
    </row>
    <row r="50" spans="1:6" x14ac:dyDescent="0.25">
      <c r="F50" t="s">
        <v>44</v>
      </c>
    </row>
    <row r="51" spans="1:6" x14ac:dyDescent="0.25">
      <c r="F51" t="s">
        <v>45</v>
      </c>
    </row>
    <row r="53" spans="1:6" x14ac:dyDescent="0.25">
      <c r="E53" t="s">
        <v>0</v>
      </c>
      <c r="F53" t="s">
        <v>52</v>
      </c>
    </row>
    <row r="54" spans="1:6" x14ac:dyDescent="0.25">
      <c r="F54" t="s">
        <v>53</v>
      </c>
    </row>
    <row r="55" spans="1:6" x14ac:dyDescent="0.25">
      <c r="F55" t="s">
        <v>54</v>
      </c>
    </row>
    <row r="56" spans="1:6" x14ac:dyDescent="0.25">
      <c r="F56" t="s">
        <v>55</v>
      </c>
    </row>
    <row r="57" spans="1:6" x14ac:dyDescent="0.25">
      <c r="F57" t="s">
        <v>56</v>
      </c>
    </row>
    <row r="59" spans="1:6" x14ac:dyDescent="0.25">
      <c r="A59" t="s">
        <v>57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>
              <from>
                <xdr:col>2</xdr:col>
                <xdr:colOff>762000</xdr:colOff>
                <xdr:row>4</xdr:row>
                <xdr:rowOff>142875</xdr:rowOff>
              </from>
              <to>
                <xdr:col>4</xdr:col>
                <xdr:colOff>257175</xdr:colOff>
                <xdr:row>7</xdr:row>
                <xdr:rowOff>66675</xdr:rowOff>
              </to>
            </anchor>
          </objectPr>
        </oleObject>
      </mc:Choice>
      <mc:Fallback>
        <oleObject progId="Equation.3" shapeId="6145" r:id="rId4"/>
      </mc:Fallback>
    </mc:AlternateContent>
    <mc:AlternateContent xmlns:mc="http://schemas.openxmlformats.org/markup-compatibility/2006">
      <mc:Choice Requires="x14">
        <oleObject progId="Equation.3" shapeId="6146" r:id="rId6">
          <objectPr defaultSize="0" autoPict="0" r:id="rId7">
            <anchor moveWithCells="1">
              <from>
                <xdr:col>2</xdr:col>
                <xdr:colOff>1047750</xdr:colOff>
                <xdr:row>8</xdr:row>
                <xdr:rowOff>161925</xdr:rowOff>
              </from>
              <to>
                <xdr:col>5</xdr:col>
                <xdr:colOff>57150</xdr:colOff>
                <xdr:row>12</xdr:row>
                <xdr:rowOff>0</xdr:rowOff>
              </to>
            </anchor>
          </objectPr>
        </oleObject>
      </mc:Choice>
      <mc:Fallback>
        <oleObject progId="Equation.3" shapeId="6146" r:id="rId6"/>
      </mc:Fallback>
    </mc:AlternateContent>
    <mc:AlternateContent xmlns:mc="http://schemas.openxmlformats.org/markup-compatibility/2006">
      <mc:Choice Requires="x14">
        <oleObject progId="Equation.3" shapeId="6147" r:id="rId8">
          <objectPr defaultSize="0" autoPict="0" r:id="rId9">
            <anchor moveWithCells="1">
              <from>
                <xdr:col>2</xdr:col>
                <xdr:colOff>933450</xdr:colOff>
                <xdr:row>13</xdr:row>
                <xdr:rowOff>123825</xdr:rowOff>
              </from>
              <to>
                <xdr:col>5</xdr:col>
                <xdr:colOff>276225</xdr:colOff>
                <xdr:row>15</xdr:row>
                <xdr:rowOff>28575</xdr:rowOff>
              </to>
            </anchor>
          </objectPr>
        </oleObject>
      </mc:Choice>
      <mc:Fallback>
        <oleObject progId="Equation.3" shapeId="6147" r:id="rId8"/>
      </mc:Fallback>
    </mc:AlternateContent>
    <mc:AlternateContent xmlns:mc="http://schemas.openxmlformats.org/markup-compatibility/2006">
      <mc:Choice Requires="x14">
        <oleObject progId="Equation.3" shapeId="6148" r:id="rId10">
          <objectPr defaultSize="0" autoPict="0" r:id="rId11">
            <anchor moveWithCells="1">
              <from>
                <xdr:col>2</xdr:col>
                <xdr:colOff>514350</xdr:colOff>
                <xdr:row>17</xdr:row>
                <xdr:rowOff>180975</xdr:rowOff>
              </from>
              <to>
                <xdr:col>5</xdr:col>
                <xdr:colOff>95250</xdr:colOff>
                <xdr:row>19</xdr:row>
                <xdr:rowOff>152400</xdr:rowOff>
              </to>
            </anchor>
          </objectPr>
        </oleObject>
      </mc:Choice>
      <mc:Fallback>
        <oleObject progId="Equation.3" shapeId="6148" r:id="rId10"/>
      </mc:Fallback>
    </mc:AlternateContent>
    <mc:AlternateContent xmlns:mc="http://schemas.openxmlformats.org/markup-compatibility/2006">
      <mc:Choice Requires="x14">
        <oleObject progId="Equation.3" shapeId="6150" r:id="rId12">
          <objectPr defaultSize="0" autoPict="0" r:id="rId13">
            <anchor moveWithCells="1">
              <from>
                <xdr:col>0</xdr:col>
                <xdr:colOff>66675</xdr:colOff>
                <xdr:row>33</xdr:row>
                <xdr:rowOff>57150</xdr:rowOff>
              </from>
              <to>
                <xdr:col>2</xdr:col>
                <xdr:colOff>1428750</xdr:colOff>
                <xdr:row>39</xdr:row>
                <xdr:rowOff>152400</xdr:rowOff>
              </to>
            </anchor>
          </objectPr>
        </oleObject>
      </mc:Choice>
      <mc:Fallback>
        <oleObject progId="Equation.3" shapeId="6150" r:id="rId12"/>
      </mc:Fallback>
    </mc:AlternateContent>
    <mc:AlternateContent xmlns:mc="http://schemas.openxmlformats.org/markup-compatibility/2006">
      <mc:Choice Requires="x14">
        <oleObject progId="Equation.3" shapeId="6152" r:id="rId14">
          <objectPr defaultSize="0" autoPict="0" r:id="rId15">
            <anchor moveWithCells="1">
              <from>
                <xdr:col>3</xdr:col>
                <xdr:colOff>19050</xdr:colOff>
                <xdr:row>41</xdr:row>
                <xdr:rowOff>104775</xdr:rowOff>
              </from>
              <to>
                <xdr:col>4</xdr:col>
                <xdr:colOff>628650</xdr:colOff>
                <xdr:row>43</xdr:row>
                <xdr:rowOff>95250</xdr:rowOff>
              </to>
            </anchor>
          </objectPr>
        </oleObject>
      </mc:Choice>
      <mc:Fallback>
        <oleObject progId="Equation.3" shapeId="6152" r:id="rId14"/>
      </mc:Fallback>
    </mc:AlternateContent>
    <mc:AlternateContent xmlns:mc="http://schemas.openxmlformats.org/markup-compatibility/2006">
      <mc:Choice Requires="x14">
        <oleObject progId="Equation.3" shapeId="6153" r:id="rId16">
          <objectPr defaultSize="0" autoPict="0" r:id="rId17">
            <anchor moveWithCells="1">
              <from>
                <xdr:col>2</xdr:col>
                <xdr:colOff>476250</xdr:colOff>
                <xdr:row>48</xdr:row>
                <xdr:rowOff>19050</xdr:rowOff>
              </from>
              <to>
                <xdr:col>3</xdr:col>
                <xdr:colOff>190500</xdr:colOff>
                <xdr:row>50</xdr:row>
                <xdr:rowOff>9525</xdr:rowOff>
              </to>
            </anchor>
          </objectPr>
        </oleObject>
      </mc:Choice>
      <mc:Fallback>
        <oleObject progId="Equation.3" shapeId="6153" r:id="rId16"/>
      </mc:Fallback>
    </mc:AlternateContent>
    <mc:AlternateContent xmlns:mc="http://schemas.openxmlformats.org/markup-compatibility/2006">
      <mc:Choice Requires="x14">
        <oleObject progId="Equation.3" shapeId="6154" r:id="rId18">
          <objectPr defaultSize="0" autoPict="0" r:id="rId19">
            <anchor moveWithCells="1">
              <from>
                <xdr:col>2</xdr:col>
                <xdr:colOff>485775</xdr:colOff>
                <xdr:row>52</xdr:row>
                <xdr:rowOff>9525</xdr:rowOff>
              </from>
              <to>
                <xdr:col>3</xdr:col>
                <xdr:colOff>542925</xdr:colOff>
                <xdr:row>54</xdr:row>
                <xdr:rowOff>66675</xdr:rowOff>
              </to>
            </anchor>
          </objectPr>
        </oleObject>
      </mc:Choice>
      <mc:Fallback>
        <oleObject progId="Equation.3" shapeId="6154" r:id="rId1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="85" zoomScaleNormal="85" zoomScalePageLayoutView="85" workbookViewId="0">
      <selection activeCell="S25" sqref="S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" t="s">
        <v>59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114</v>
      </c>
    </row>
    <row r="4" spans="1:23" x14ac:dyDescent="0.25">
      <c r="M4" s="1" t="s">
        <v>20</v>
      </c>
      <c r="O4" s="4" t="s">
        <v>21</v>
      </c>
      <c r="P4" s="7">
        <f>25.4*(1000/$E$9-10)</f>
        <v>63.5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6.3477011494252871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456.55840517241376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7.1925000000000003E-2</v>
      </c>
      <c r="F8" t="s">
        <v>63</v>
      </c>
      <c r="G8" s="14" t="s">
        <v>4</v>
      </c>
      <c r="H8" s="15">
        <v>71925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80</v>
      </c>
      <c r="M9" s="1" t="s">
        <v>66</v>
      </c>
      <c r="O9" s="4" t="s">
        <v>67</v>
      </c>
      <c r="P9" s="12">
        <f>(0.007*(((E18*E14)/0.3048)^0.8))/(((E10/25.4)^0.5)*(E21^0.4))</f>
        <v>0.21355004055198862</v>
      </c>
      <c r="Q9" s="1" t="s">
        <v>84</v>
      </c>
      <c r="R9" s="11" t="s">
        <v>4</v>
      </c>
      <c r="S9" s="6">
        <f>P9*60*60</f>
        <v>768.78014598715902</v>
      </c>
      <c r="T9" s="1" t="s">
        <v>5</v>
      </c>
      <c r="U9" s="11" t="s">
        <v>4</v>
      </c>
      <c r="V9" s="6">
        <f>S9/60</f>
        <v>12.813002433119317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0.14120464506800415</v>
      </c>
      <c r="Q11" s="1" t="s">
        <v>84</v>
      </c>
      <c r="R11" s="11" t="s">
        <v>4</v>
      </c>
      <c r="S11" s="6">
        <f>P11*60*60</f>
        <v>508.33672224481495</v>
      </c>
      <c r="T11" s="1" t="s">
        <v>5</v>
      </c>
      <c r="U11" s="11" t="s">
        <v>4</v>
      </c>
      <c r="V11" s="6">
        <f>S11/60</f>
        <v>8.4722787040802494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636</v>
      </c>
      <c r="M12" s="1" t="s">
        <v>46</v>
      </c>
      <c r="O12" s="4" t="s">
        <v>91</v>
      </c>
      <c r="P12" s="7">
        <f>4.918*(E22^0.5)</f>
        <v>0.98360000000000003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v>500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0.05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0.35475468561999279</v>
      </c>
      <c r="Q19" s="1" t="s">
        <v>84</v>
      </c>
      <c r="R19" s="11" t="s">
        <v>4</v>
      </c>
      <c r="S19" s="6">
        <f>P19*60*60</f>
        <v>1277.1168682319742</v>
      </c>
      <c r="T19" s="1" t="s">
        <v>5</v>
      </c>
      <c r="U19" s="11" t="s">
        <v>4</v>
      </c>
      <c r="V19" s="6">
        <f>S19/60</f>
        <v>21.285281137199568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0.4</v>
      </c>
      <c r="Q21" s="1"/>
    </row>
    <row r="22" spans="1:23" ht="18" x14ac:dyDescent="0.35">
      <c r="A22" t="s">
        <v>79</v>
      </c>
      <c r="D22" s="3" t="s">
        <v>82</v>
      </c>
      <c r="E22" s="13">
        <v>0.04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0.04</v>
      </c>
      <c r="F23" t="s">
        <v>88</v>
      </c>
      <c r="M23" s="1" t="s">
        <v>103</v>
      </c>
      <c r="N23" s="1"/>
      <c r="O23" s="4" t="s">
        <v>104</v>
      </c>
      <c r="P23" s="22">
        <v>470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9.2270453685344825E-2</v>
      </c>
      <c r="Q25" s="1" t="s">
        <v>26</v>
      </c>
      <c r="R25" s="19" t="s">
        <v>4</v>
      </c>
      <c r="S25" s="7">
        <f>P25*1000</f>
        <v>92.270453685344819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70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" t="s">
        <v>113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110</v>
      </c>
    </row>
    <row r="4" spans="1:23" x14ac:dyDescent="0.25">
      <c r="M4" s="1" t="s">
        <v>20</v>
      </c>
      <c r="O4" s="4" t="s">
        <v>21</v>
      </c>
      <c r="P4" s="7">
        <f>25.4*(1000/$E$9-10)</f>
        <v>71.641025641025649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5.115613113693728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1955.9393271814556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0.38234699999999999</v>
      </c>
      <c r="F8" t="s">
        <v>63</v>
      </c>
      <c r="G8" s="14" t="s">
        <v>4</v>
      </c>
      <c r="H8" s="15">
        <v>382347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78</v>
      </c>
      <c r="M9" s="1" t="s">
        <v>66</v>
      </c>
      <c r="O9" s="4" t="s">
        <v>67</v>
      </c>
      <c r="P9" s="12">
        <f>(0.007*(((E18*E14)/0.3048)^0.8))/(((E10/25.4)^0.5)*(E21^0.4))</f>
        <v>0.21355004055198862</v>
      </c>
      <c r="Q9" s="1" t="s">
        <v>84</v>
      </c>
      <c r="R9" s="11" t="s">
        <v>4</v>
      </c>
      <c r="S9" s="6">
        <f>P9*60*60</f>
        <v>768.78014598715902</v>
      </c>
      <c r="T9" s="1" t="s">
        <v>5</v>
      </c>
      <c r="U9" s="11" t="s">
        <v>4</v>
      </c>
      <c r="V9" s="6">
        <f>S9/60</f>
        <v>12.813002433119317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0.1567371560254846</v>
      </c>
      <c r="Q11" s="1" t="s">
        <v>84</v>
      </c>
      <c r="R11" s="11" t="s">
        <v>4</v>
      </c>
      <c r="S11" s="6">
        <f>P11*60*60</f>
        <v>564.25376169174456</v>
      </c>
      <c r="T11" s="1" t="s">
        <v>5</v>
      </c>
      <c r="U11" s="11" t="s">
        <v>4</v>
      </c>
      <c r="V11" s="6">
        <f>S11/60</f>
        <v>9.404229361529076</v>
      </c>
      <c r="W11" s="1" t="s">
        <v>111</v>
      </c>
    </row>
    <row r="12" spans="1:23" ht="18" x14ac:dyDescent="0.35">
      <c r="A12" t="s">
        <v>64</v>
      </c>
      <c r="D12" s="3" t="s">
        <v>87</v>
      </c>
      <c r="E12">
        <v>783</v>
      </c>
      <c r="M12" s="1" t="s">
        <v>46</v>
      </c>
      <c r="O12" s="4" t="s">
        <v>91</v>
      </c>
      <c r="P12" s="7">
        <f>4.918*(E22^0.5)</f>
        <v>0.98360000000000003</v>
      </c>
      <c r="Q12" s="1" t="s">
        <v>92</v>
      </c>
    </row>
    <row r="14" spans="1:23" ht="18" x14ac:dyDescent="0.35">
      <c r="A14" t="s">
        <v>68</v>
      </c>
      <c r="D14" s="3" t="s">
        <v>71</v>
      </c>
      <c r="E14">
        <v>100</v>
      </c>
      <c r="F14" t="s">
        <v>3</v>
      </c>
      <c r="M14" s="1" t="s">
        <v>50</v>
      </c>
      <c r="O14" s="4" t="s">
        <v>93</v>
      </c>
      <c r="P14" s="7">
        <f>E16/(3600*P17)</f>
        <v>1.4783073652099844E-2</v>
      </c>
      <c r="Q14" s="1" t="s">
        <v>84</v>
      </c>
      <c r="R14" s="11" t="s">
        <v>4</v>
      </c>
      <c r="S14" s="6">
        <f>P14*60*60</f>
        <v>53.219065147559434</v>
      </c>
      <c r="T14" s="1" t="s">
        <v>5</v>
      </c>
      <c r="U14" s="11" t="s">
        <v>4</v>
      </c>
      <c r="V14" s="6">
        <f>S14/60</f>
        <v>0.88698441912599058</v>
      </c>
      <c r="W14" s="1" t="s">
        <v>111</v>
      </c>
    </row>
    <row r="15" spans="1:23" ht="18" x14ac:dyDescent="0.35">
      <c r="A15" t="s">
        <v>69</v>
      </c>
      <c r="D15" s="3" t="s">
        <v>72</v>
      </c>
      <c r="E15">
        <f>E12-(E14+E16)</f>
        <v>555</v>
      </c>
      <c r="F15" t="s">
        <v>3</v>
      </c>
    </row>
    <row r="16" spans="1:23" ht="18" x14ac:dyDescent="0.35">
      <c r="A16" t="s">
        <v>70</v>
      </c>
      <c r="D16" s="3" t="s">
        <v>73</v>
      </c>
      <c r="E16">
        <v>128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>
        <v>0.05</v>
      </c>
    </row>
    <row r="19" spans="1:23" ht="18" x14ac:dyDescent="0.35">
      <c r="A19" t="s">
        <v>75</v>
      </c>
      <c r="D19" s="3" t="s">
        <v>77</v>
      </c>
      <c r="E19">
        <v>3.3000000000000002E-2</v>
      </c>
      <c r="M19" s="1" t="s">
        <v>100</v>
      </c>
      <c r="O19" s="4" t="s">
        <v>101</v>
      </c>
      <c r="P19" s="7">
        <f>P9+P11+P14</f>
        <v>0.38507027022957308</v>
      </c>
      <c r="Q19" s="1" t="s">
        <v>84</v>
      </c>
      <c r="R19" s="11" t="s">
        <v>4</v>
      </c>
      <c r="S19" s="6">
        <f>P19*60*60</f>
        <v>1386.2529728264631</v>
      </c>
      <c r="T19" s="1" t="s">
        <v>5</v>
      </c>
      <c r="U19" s="11" t="s">
        <v>4</v>
      </c>
      <c r="V19" s="6">
        <f>S19/60</f>
        <v>23.104216213774386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>
        <v>0.04</v>
      </c>
      <c r="F21" t="s">
        <v>88</v>
      </c>
      <c r="M21" s="1" t="s">
        <v>102</v>
      </c>
      <c r="O21" s="4"/>
      <c r="P21" s="21">
        <v>0.45</v>
      </c>
      <c r="Q21" s="1"/>
    </row>
    <row r="22" spans="1:23" ht="18" x14ac:dyDescent="0.35">
      <c r="A22" t="s">
        <v>79</v>
      </c>
      <c r="D22" s="3" t="s">
        <v>82</v>
      </c>
      <c r="E22">
        <v>0.04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>
        <v>0.04</v>
      </c>
      <c r="F23" t="s">
        <v>88</v>
      </c>
      <c r="M23" s="1" t="s">
        <v>103</v>
      </c>
      <c r="N23" s="1"/>
      <c r="O23" s="4" t="s">
        <v>104</v>
      </c>
      <c r="P23" s="22">
        <v>340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0.28595832963392881</v>
      </c>
      <c r="Q25" s="1" t="s">
        <v>26</v>
      </c>
      <c r="R25" s="19" t="s">
        <v>4</v>
      </c>
      <c r="S25" s="7">
        <f>P25*1000</f>
        <v>285.95832963392883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8"/>
  <sheetViews>
    <sheetView showWhiteSpace="0" zoomScalePageLayoutView="70" workbookViewId="0">
      <selection activeCell="S25" sqref="S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115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140</v>
      </c>
    </row>
    <row r="4" spans="1:23" x14ac:dyDescent="0.25">
      <c r="M4" s="1" t="s">
        <v>20</v>
      </c>
      <c r="O4" s="4" t="s">
        <v>21</v>
      </c>
      <c r="P4" s="7">
        <f>25.4*(1000/$E$9-10)</f>
        <v>52.02409638554218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8.5504694113192183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318.4707836939956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3.7246000000000001E-2</v>
      </c>
      <c r="F8" t="s">
        <v>63</v>
      </c>
      <c r="G8" s="14" t="s">
        <v>4</v>
      </c>
      <c r="H8" s="15">
        <v>37246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83</v>
      </c>
      <c r="M9" s="1" t="s">
        <v>66</v>
      </c>
      <c r="O9" s="4" t="s">
        <v>67</v>
      </c>
      <c r="P9" s="12">
        <f>(0.007*(((E18*E14)/0.3048)^0.8))/(((E10/25.4)^0.5)*(E21^0.4))</f>
        <v>0.14802110936418328</v>
      </c>
      <c r="Q9" s="1" t="s">
        <v>84</v>
      </c>
      <c r="R9" s="11" t="s">
        <v>4</v>
      </c>
      <c r="S9" s="6">
        <f>P9*60*60</f>
        <v>532.87599371105978</v>
      </c>
      <c r="T9" s="1" t="s">
        <v>5</v>
      </c>
      <c r="U9" s="11" t="s">
        <v>4</v>
      </c>
      <c r="V9" s="6">
        <f>S9/60</f>
        <v>8.8812665618509961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</v>
      </c>
      <c r="Q11" s="1" t="s">
        <v>84</v>
      </c>
      <c r="R11" s="11" t="s">
        <v>4</v>
      </c>
      <c r="S11" s="6">
        <f>P11*60*60</f>
        <v>0</v>
      </c>
      <c r="T11" s="1" t="s">
        <v>5</v>
      </c>
      <c r="U11" s="11" t="s">
        <v>4</v>
      </c>
      <c r="V11" s="6">
        <f>S11/60</f>
        <v>0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410</v>
      </c>
      <c r="M12" s="1" t="s">
        <v>46</v>
      </c>
      <c r="O12" s="4" t="s">
        <v>91</v>
      </c>
      <c r="P12" s="7">
        <f>4.918*(E22^0.5)</f>
        <v>1.5552081532708091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2.2643651411225509E-2</v>
      </c>
      <c r="Q14" s="1" t="s">
        <v>84</v>
      </c>
      <c r="R14" s="11" t="s">
        <v>4</v>
      </c>
      <c r="S14" s="6">
        <f>P14*60*60</f>
        <v>81.517145080411836</v>
      </c>
      <c r="T14" s="1" t="s">
        <v>5</v>
      </c>
      <c r="U14" s="11" t="s">
        <v>4</v>
      </c>
      <c r="V14" s="6">
        <f>S14/60</f>
        <v>1.3586190846735307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310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3.802880973005168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0.05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0.17066476077540879</v>
      </c>
      <c r="Q19" s="1" t="s">
        <v>84</v>
      </c>
      <c r="R19" s="11" t="s">
        <v>4</v>
      </c>
      <c r="S19" s="6">
        <f>P19*60*60</f>
        <v>614.39313879147164</v>
      </c>
      <c r="T19" s="1" t="s">
        <v>5</v>
      </c>
      <c r="U19" s="11" t="s">
        <v>4</v>
      </c>
      <c r="V19" s="6">
        <f>S19/60</f>
        <v>10.239885646524527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0.1</v>
      </c>
      <c r="F21" t="s">
        <v>88</v>
      </c>
      <c r="M21" s="1" t="s">
        <v>102</v>
      </c>
      <c r="O21" s="4"/>
      <c r="P21" s="13">
        <v>0.35</v>
      </c>
      <c r="Q21" s="1"/>
    </row>
    <row r="22" spans="1:23" ht="18" x14ac:dyDescent="0.35">
      <c r="A22" t="s">
        <v>79</v>
      </c>
      <c r="D22" s="3" t="s">
        <v>82</v>
      </c>
      <c r="E22" s="13">
        <v>0.1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</v>
      </c>
      <c r="F23" t="s">
        <v>88</v>
      </c>
      <c r="M23" s="1" t="s">
        <v>103</v>
      </c>
      <c r="N23" s="1"/>
      <c r="O23" s="4" t="s">
        <v>104</v>
      </c>
      <c r="P23" s="13">
        <v>700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9.5859705891892688E-2</v>
      </c>
      <c r="Q25" s="1" t="s">
        <v>26</v>
      </c>
      <c r="R25" s="19" t="s">
        <v>4</v>
      </c>
      <c r="S25" s="7">
        <f>P25*1000</f>
        <v>95.859705891892688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55" workbookViewId="0">
      <selection activeCell="P23" sqref="P23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116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117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21.952160238371121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1.2999999999999999E-2</v>
      </c>
      <c r="F8" t="s">
        <v>63</v>
      </c>
      <c r="G8" s="14" t="s">
        <v>4</v>
      </c>
      <c r="H8" s="15">
        <v>13000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0.21355004055198862</v>
      </c>
      <c r="Q9" s="1" t="s">
        <v>84</v>
      </c>
      <c r="R9" s="11" t="s">
        <v>4</v>
      </c>
      <c r="S9" s="6">
        <f>P9*60*60</f>
        <v>768.78014598715902</v>
      </c>
      <c r="T9" s="1" t="s">
        <v>5</v>
      </c>
      <c r="U9" s="11" t="s">
        <v>4</v>
      </c>
      <c r="V9" s="6">
        <f>S9/60</f>
        <v>12.813002433119317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4.1415383265436541E-2</v>
      </c>
      <c r="Q11" s="1" t="s">
        <v>84</v>
      </c>
      <c r="R11" s="11" t="s">
        <v>4</v>
      </c>
      <c r="S11" s="6">
        <f>P11*60*60</f>
        <v>149.09537975557154</v>
      </c>
      <c r="T11" s="1" t="s">
        <v>5</v>
      </c>
      <c r="U11" s="11" t="s">
        <v>4</v>
      </c>
      <c r="V11" s="6">
        <f>S11/60</f>
        <v>2.4849229959261923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294</v>
      </c>
      <c r="M12" s="1" t="s">
        <v>46</v>
      </c>
      <c r="O12" s="4" t="s">
        <v>91</v>
      </c>
      <c r="P12" s="7">
        <f>4.918*(E22^0.5)</f>
        <v>1.3011804947815657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194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0.05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0.25496542381742515</v>
      </c>
      <c r="Q19" s="1" t="s">
        <v>84</v>
      </c>
      <c r="R19" s="11" t="s">
        <v>4</v>
      </c>
      <c r="S19" s="6">
        <f>P19*60*60</f>
        <v>917.87552574273059</v>
      </c>
      <c r="T19" s="1" t="s">
        <v>5</v>
      </c>
      <c r="U19" s="11" t="s">
        <v>4</v>
      </c>
      <c r="V19" s="6">
        <f>S19/60</f>
        <v>15.29792542904551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0.68</v>
      </c>
      <c r="Q21" s="1"/>
    </row>
    <row r="22" spans="1:23" ht="18" x14ac:dyDescent="0.35">
      <c r="A22" t="s">
        <v>79</v>
      </c>
      <c r="D22" s="3" t="s">
        <v>82</v>
      </c>
      <c r="E22" s="13">
        <v>7.0000000000000007E-2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0.04</v>
      </c>
      <c r="F23" t="s">
        <v>88</v>
      </c>
      <c r="M23" s="1" t="s">
        <v>103</v>
      </c>
      <c r="N23" s="1"/>
      <c r="O23" s="4" t="s">
        <v>104</v>
      </c>
      <c r="P23" s="22">
        <v>150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0.4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1.4159143353749373E-3</v>
      </c>
      <c r="Q25" s="1" t="s">
        <v>26</v>
      </c>
      <c r="R25" s="19" t="s">
        <v>4</v>
      </c>
      <c r="S25" s="7">
        <f>P25*1000</f>
        <v>1.4159143353749373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137</v>
      </c>
    </row>
    <row r="4" spans="1:23" x14ac:dyDescent="0.25">
      <c r="M4" s="1" t="s">
        <v>20</v>
      </c>
      <c r="O4" s="4" t="s">
        <v>21</v>
      </c>
      <c r="P4" s="7">
        <f>25.4*(1000/$E$9-10)</f>
        <v>93.945205479452042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2.7222695001996935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16325.450192697563</v>
      </c>
      <c r="Q7" s="1" t="s">
        <v>65</v>
      </c>
    </row>
    <row r="8" spans="1:23" ht="17.25" x14ac:dyDescent="0.25">
      <c r="A8" t="s">
        <v>62</v>
      </c>
      <c r="D8" s="3" t="s">
        <v>2</v>
      </c>
      <c r="E8" s="24">
        <f>H8/1000/1000</f>
        <v>5.9969999999999999</v>
      </c>
      <c r="F8" t="s">
        <v>63</v>
      </c>
      <c r="G8" s="14" t="s">
        <v>4</v>
      </c>
      <c r="H8" s="15">
        <v>5997000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73</v>
      </c>
      <c r="M9" s="1" t="s">
        <v>66</v>
      </c>
      <c r="O9" s="4" t="s">
        <v>67</v>
      </c>
      <c r="P9" s="12">
        <f>(0.007*(((E18*E14)/0.3048)^0.8))/(((E10/25.4)^0.5)*(E21^0.4))</f>
        <v>0.17072001441806089</v>
      </c>
      <c r="Q9" s="1" t="s">
        <v>84</v>
      </c>
      <c r="R9" s="11" t="s">
        <v>4</v>
      </c>
      <c r="S9" s="6">
        <f>P9*60*60</f>
        <v>614.59205190501928</v>
      </c>
      <c r="T9" s="1" t="s">
        <v>5</v>
      </c>
      <c r="U9" s="11" t="s">
        <v>4</v>
      </c>
      <c r="V9" s="6">
        <f>S9/60</f>
        <v>10.243200865083654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5.6481858027201667E-2</v>
      </c>
      <c r="Q11" s="1" t="s">
        <v>84</v>
      </c>
      <c r="R11" s="11" t="s">
        <v>4</v>
      </c>
      <c r="S11" s="6">
        <f>P11*60*60</f>
        <v>203.33468889792601</v>
      </c>
      <c r="T11" s="1" t="s">
        <v>5</v>
      </c>
      <c r="U11" s="11" t="s">
        <v>4</v>
      </c>
      <c r="V11" s="6">
        <f>S11/60</f>
        <v>3.3889114816321002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1484</v>
      </c>
      <c r="M12" s="1" t="s">
        <v>46</v>
      </c>
      <c r="O12" s="4" t="s">
        <v>91</v>
      </c>
      <c r="P12" s="7">
        <f>4.918*(E22^0.5)</f>
        <v>2.4590000000000001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0.52135392985572659</v>
      </c>
      <c r="Q14" s="1" t="s">
        <v>84</v>
      </c>
      <c r="R14" s="11" t="s">
        <v>4</v>
      </c>
      <c r="S14" s="6">
        <f>P14*60*60</f>
        <v>1876.8741474806159</v>
      </c>
      <c r="T14" s="1" t="s">
        <v>5</v>
      </c>
      <c r="U14" s="11" t="s">
        <v>4</v>
      </c>
      <c r="V14" s="6">
        <f>S14/60</f>
        <v>31.281235791343597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v>500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3192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1.7007000731960196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0.05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0.74855580230098917</v>
      </c>
      <c r="Q19" s="1" t="s">
        <v>84</v>
      </c>
      <c r="R19" s="11" t="s">
        <v>4</v>
      </c>
      <c r="S19" s="6">
        <f>P19*60*60</f>
        <v>2694.8008882835611</v>
      </c>
      <c r="T19" s="1" t="s">
        <v>5</v>
      </c>
      <c r="U19" s="11" t="s">
        <v>4</v>
      </c>
      <c r="V19" s="6">
        <f>S19/60</f>
        <v>44.913348138059355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7.0000000000000007E-2</v>
      </c>
      <c r="F21" t="s">
        <v>88</v>
      </c>
      <c r="M21" s="1" t="s">
        <v>102</v>
      </c>
      <c r="O21" s="4"/>
      <c r="P21" s="21">
        <v>0.57999999999999996</v>
      </c>
      <c r="Q21" s="1"/>
    </row>
    <row r="22" spans="1:23" ht="18" x14ac:dyDescent="0.35">
      <c r="A22" t="s">
        <v>79</v>
      </c>
      <c r="D22" s="3" t="s">
        <v>82</v>
      </c>
      <c r="E22" s="13">
        <v>0.25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0.02</v>
      </c>
      <c r="F23" t="s">
        <v>88</v>
      </c>
      <c r="M23" s="1" t="s">
        <v>103</v>
      </c>
      <c r="N23" s="1"/>
      <c r="O23" s="4" t="s">
        <v>104</v>
      </c>
      <c r="P23" s="22">
        <v>140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0.98279210160039321</v>
      </c>
      <c r="Q25" s="1" t="s">
        <v>26</v>
      </c>
      <c r="R25" s="19" t="s">
        <v>4</v>
      </c>
      <c r="S25" s="7">
        <f>P25*1000</f>
        <v>982.79210160039315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118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121</v>
      </c>
    </row>
    <row r="4" spans="1:23" x14ac:dyDescent="0.25">
      <c r="M4" s="1" t="s">
        <v>20</v>
      </c>
      <c r="O4" s="4" t="s">
        <v>21</v>
      </c>
      <c r="P4" s="7">
        <f>25.4*(1000/$E$9-10)</f>
        <v>89.243243243243256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3.1300094367162941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669.97851992912274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0.21405000000000002</v>
      </c>
      <c r="F8" t="s">
        <v>63</v>
      </c>
      <c r="G8" s="14" t="s">
        <v>4</v>
      </c>
      <c r="H8" s="15">
        <v>214050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74</v>
      </c>
      <c r="M9" s="1" t="s">
        <v>66</v>
      </c>
      <c r="O9" s="4" t="s">
        <v>67</v>
      </c>
      <c r="P9" s="12">
        <f>(0.007*(((E18*E14)/0.3048)^0.8))/(((E10/25.4)^0.5)*(E21^0.4))</f>
        <v>0.1191896570866518</v>
      </c>
      <c r="Q9" s="1" t="s">
        <v>84</v>
      </c>
      <c r="R9" s="11" t="s">
        <v>4</v>
      </c>
      <c r="S9" s="6">
        <f>P9*60*60</f>
        <v>429.08276551194649</v>
      </c>
      <c r="T9" s="1" t="s">
        <v>5</v>
      </c>
      <c r="U9" s="11" t="s">
        <v>4</v>
      </c>
      <c r="V9" s="6">
        <f>S9/60</f>
        <v>7.1513794251991083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2.3968214713206301E-2</v>
      </c>
      <c r="Q11" s="1" t="s">
        <v>84</v>
      </c>
      <c r="R11" s="11" t="s">
        <v>4</v>
      </c>
      <c r="S11" s="6">
        <f>P11*60*60</f>
        <v>86.285572967542677</v>
      </c>
      <c r="T11" s="1" t="s">
        <v>5</v>
      </c>
      <c r="U11" s="11" t="s">
        <v>4</v>
      </c>
      <c r="V11" s="6">
        <f>S11/60</f>
        <v>1.438092882792378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1300</v>
      </c>
      <c r="M12" s="1" t="s">
        <v>46</v>
      </c>
      <c r="O12" s="4" t="s">
        <v>91</v>
      </c>
      <c r="P12" s="7">
        <f>4.918*(E22^0.5)</f>
        <v>1.7036451743247478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0.12778784348009445</v>
      </c>
      <c r="Q14" s="1" t="s">
        <v>84</v>
      </c>
      <c r="R14" s="11" t="s">
        <v>4</v>
      </c>
      <c r="S14" s="6">
        <f>P14*60*60</f>
        <v>460.03623652834</v>
      </c>
      <c r="T14" s="1" t="s">
        <v>5</v>
      </c>
      <c r="U14" s="11" t="s">
        <v>4</v>
      </c>
      <c r="V14" s="6">
        <f>S14/60</f>
        <v>7.6672706088056666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147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1053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0.27094571527995259</v>
      </c>
      <c r="Q19" s="1" t="s">
        <v>84</v>
      </c>
      <c r="R19" s="11" t="s">
        <v>4</v>
      </c>
      <c r="S19" s="6">
        <f>P19*60*60</f>
        <v>975.40457500782929</v>
      </c>
      <c r="T19" s="1" t="s">
        <v>5</v>
      </c>
      <c r="U19" s="11" t="s">
        <v>4</v>
      </c>
      <c r="V19" s="6">
        <f>S19/60</f>
        <v>16.256742916797155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0.11</v>
      </c>
      <c r="F21" t="s">
        <v>88</v>
      </c>
      <c r="M21" s="1" t="s">
        <v>102</v>
      </c>
      <c r="O21" s="4"/>
      <c r="P21" s="21">
        <v>0.54</v>
      </c>
      <c r="Q21" s="1"/>
    </row>
    <row r="22" spans="1:23" ht="18" x14ac:dyDescent="0.35">
      <c r="A22" t="s">
        <v>79</v>
      </c>
      <c r="D22" s="3" t="s">
        <v>82</v>
      </c>
      <c r="E22" s="13">
        <v>0.12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0.05</v>
      </c>
      <c r="F23" t="s">
        <v>88</v>
      </c>
      <c r="M23" s="1" t="s">
        <v>103</v>
      </c>
      <c r="N23" s="1"/>
      <c r="O23" s="4" t="s">
        <v>104</v>
      </c>
      <c r="P23" s="22">
        <v>270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7.7784506163771153E-2</v>
      </c>
      <c r="Q25" s="1" t="s">
        <v>26</v>
      </c>
      <c r="R25" s="19" t="s">
        <v>4</v>
      </c>
      <c r="S25" s="7">
        <f>P25*1000</f>
        <v>77.784506163771155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zoomScale="85" zoomScalePageLayoutView="85" workbookViewId="0">
      <selection activeCell="P25" sqref="P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122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120</v>
      </c>
    </row>
    <row r="4" spans="1:23" x14ac:dyDescent="0.25">
      <c r="M4" s="1" t="s">
        <v>20</v>
      </c>
      <c r="O4" s="4" t="s">
        <v>21</v>
      </c>
      <c r="P4" s="7">
        <f>25.4*(1000/$E$9-10)</f>
        <v>84.666666666666671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3.5715629677143479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21.365089672867231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5.9820000000000003E-3</v>
      </c>
      <c r="F8" t="s">
        <v>63</v>
      </c>
      <c r="G8" s="14" t="s">
        <v>4</v>
      </c>
      <c r="H8" s="15">
        <v>5982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75</v>
      </c>
      <c r="M9" s="1" t="s">
        <v>66</v>
      </c>
      <c r="O9" s="4" t="s">
        <v>67</v>
      </c>
      <c r="P9" s="12">
        <f>(0.007*(((E18*E14)/0.3048)^0.8))/(((E10/25.4)^0.5)*(E21^0.4))</f>
        <v>0.13538160220825665</v>
      </c>
      <c r="Q9" s="1" t="s">
        <v>84</v>
      </c>
      <c r="R9" s="11" t="s">
        <v>4</v>
      </c>
      <c r="S9" s="6">
        <f>P9*60*60</f>
        <v>487.37376794972391</v>
      </c>
      <c r="T9" s="1" t="s">
        <v>5</v>
      </c>
      <c r="U9" s="11" t="s">
        <v>4</v>
      </c>
      <c r="V9" s="6">
        <f>S9/60</f>
        <v>8.1228961324953985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1.9969352412525063E-3</v>
      </c>
      <c r="Q11" s="1" t="s">
        <v>84</v>
      </c>
      <c r="R11" s="11" t="s">
        <v>4</v>
      </c>
      <c r="S11" s="6">
        <f>P11*60*60</f>
        <v>7.1889668685090227</v>
      </c>
      <c r="T11" s="1" t="s">
        <v>5</v>
      </c>
      <c r="U11" s="11" t="s">
        <v>4</v>
      </c>
      <c r="V11" s="6">
        <f>S11/60</f>
        <v>0.11981611447515038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110</v>
      </c>
      <c r="M12" s="1" t="s">
        <v>46</v>
      </c>
      <c r="O12" s="4" t="s">
        <v>91</v>
      </c>
      <c r="P12" s="7">
        <f>4.918*(E22^0.5)</f>
        <v>1.3910204599501763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0.13737853744950915</v>
      </c>
      <c r="Q19" s="1" t="s">
        <v>84</v>
      </c>
      <c r="R19" s="11" t="s">
        <v>4</v>
      </c>
      <c r="S19" s="6">
        <f>P19*60*60</f>
        <v>494.56273481823291</v>
      </c>
      <c r="T19" s="1" t="s">
        <v>5</v>
      </c>
      <c r="U19" s="11" t="s">
        <v>4</v>
      </c>
      <c r="V19" s="6">
        <f>S19/60</f>
        <v>8.2427122469705481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0.08</v>
      </c>
      <c r="F21" t="s">
        <v>88</v>
      </c>
      <c r="M21" s="1" t="s">
        <v>102</v>
      </c>
      <c r="O21" s="4"/>
      <c r="P21" s="21">
        <v>0.52</v>
      </c>
      <c r="Q21" s="1"/>
    </row>
    <row r="22" spans="1:23" ht="18" x14ac:dyDescent="0.35">
      <c r="A22" t="s">
        <v>79</v>
      </c>
      <c r="D22" s="3" t="s">
        <v>82</v>
      </c>
      <c r="E22" s="13">
        <v>0.08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0.05</v>
      </c>
      <c r="F23" t="s">
        <v>88</v>
      </c>
      <c r="M23" s="1" t="s">
        <v>103</v>
      </c>
      <c r="N23" s="1"/>
      <c r="O23" s="4" t="s">
        <v>104</v>
      </c>
      <c r="P23" s="22">
        <v>420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3.8585351949198218E-3</v>
      </c>
      <c r="Q25" s="1" t="s">
        <v>26</v>
      </c>
      <c r="R25" s="19" t="s">
        <v>4</v>
      </c>
      <c r="S25" s="7">
        <f>P25*1000</f>
        <v>3.8585351949198219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1</vt:i4>
      </vt:variant>
    </vt:vector>
  </HeadingPairs>
  <TitlesOfParts>
    <vt:vector size="20" baseType="lpstr">
      <vt:lpstr>redukce návrhového deště</vt:lpstr>
      <vt:lpstr>vzorce</vt:lpstr>
      <vt:lpstr>(1)</vt:lpstr>
      <vt:lpstr>(2)</vt:lpstr>
      <vt:lpstr>(3)</vt:lpstr>
      <vt:lpstr>(4)</vt:lpstr>
      <vt:lpstr>(32)</vt:lpstr>
      <vt:lpstr>(5)</vt:lpstr>
      <vt:lpstr>(6)</vt:lpstr>
      <vt:lpstr>(7)</vt:lpstr>
      <vt:lpstr>(30)</vt:lpstr>
      <vt:lpstr>(8)</vt:lpstr>
      <vt:lpstr>(9)</vt:lpstr>
      <vt:lpstr>(10)</vt:lpstr>
      <vt:lpstr>(11)</vt:lpstr>
      <vt:lpstr>(12)</vt:lpstr>
      <vt:lpstr>(14)</vt:lpstr>
      <vt:lpstr>(31)</vt:lpstr>
      <vt:lpstr>přítok SRN</vt:lpstr>
      <vt:lpstr>'redukce návrhového deště'!Oblast_tisku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</dc:creator>
  <cp:lastModifiedBy>Plintová</cp:lastModifiedBy>
  <cp:lastPrinted>2016-12-19T08:13:38Z</cp:lastPrinted>
  <dcterms:created xsi:type="dcterms:W3CDTF">2013-11-10T16:52:39Z</dcterms:created>
  <dcterms:modified xsi:type="dcterms:W3CDTF">2016-12-19T08:14:40Z</dcterms:modified>
</cp:coreProperties>
</file>