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OZEMKOVÉ_ÚPRAVY\Pohled_Zbyhněvice\PROJEKČNÍ PRÁCE\PSZ\CR_9162_KoPÚ_Zbyhněvice\DTR\TEXTY\"/>
    </mc:Choice>
  </mc:AlternateContent>
  <xr:revisionPtr revIDLastSave="0" documentId="13_ncr:1_{0ABAAC7A-05EB-4349-ADAB-FADA5692F6B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byhněvice" sheetId="1" r:id="rId1"/>
    <sheet name="Průleh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6" i="2" l="1"/>
  <c r="C66" i="2"/>
  <c r="B66" i="2"/>
  <c r="K65" i="2"/>
  <c r="C65" i="2"/>
  <c r="B65" i="2"/>
  <c r="K64" i="2"/>
  <c r="C64" i="2"/>
  <c r="B64" i="2"/>
  <c r="K63" i="2"/>
  <c r="C63" i="2"/>
  <c r="B63" i="2"/>
  <c r="K62" i="2"/>
  <c r="C62" i="2"/>
  <c r="B62" i="2"/>
  <c r="K61" i="2"/>
  <c r="C61" i="2"/>
  <c r="B61" i="2"/>
  <c r="K60" i="2"/>
  <c r="C60" i="2"/>
  <c r="B60" i="2"/>
  <c r="K59" i="2"/>
  <c r="C59" i="2"/>
  <c r="B59" i="2"/>
  <c r="K58" i="2"/>
  <c r="C58" i="2"/>
  <c r="B58" i="2"/>
  <c r="K57" i="2"/>
  <c r="C57" i="2"/>
  <c r="B57" i="2"/>
  <c r="K56" i="2"/>
  <c r="C56" i="2"/>
  <c r="B56" i="2"/>
  <c r="K30" i="2"/>
  <c r="C30" i="2"/>
  <c r="B30" i="2"/>
  <c r="K29" i="2"/>
  <c r="C29" i="2"/>
  <c r="B29" i="2"/>
  <c r="K28" i="2"/>
  <c r="C28" i="2"/>
  <c r="B28" i="2"/>
  <c r="K27" i="2"/>
  <c r="C27" i="2"/>
  <c r="B27" i="2"/>
  <c r="K26" i="2"/>
  <c r="C26" i="2"/>
  <c r="B26" i="2"/>
  <c r="K25" i="2"/>
  <c r="C25" i="2"/>
  <c r="B25" i="2"/>
  <c r="K24" i="2"/>
  <c r="C24" i="2"/>
  <c r="B24" i="2"/>
  <c r="K23" i="2"/>
  <c r="C23" i="2"/>
  <c r="B23" i="2"/>
  <c r="K22" i="2"/>
  <c r="C22" i="2"/>
  <c r="B22" i="2"/>
  <c r="K21" i="2"/>
  <c r="C21" i="2"/>
  <c r="B21" i="2"/>
  <c r="K20" i="2"/>
  <c r="C20" i="2"/>
  <c r="B20" i="2"/>
  <c r="K19" i="2"/>
  <c r="C19" i="2"/>
  <c r="B19" i="2"/>
  <c r="K18" i="2"/>
  <c r="C18" i="2"/>
  <c r="B18" i="2"/>
  <c r="C23" i="1"/>
  <c r="K38" i="1"/>
  <c r="C38" i="1"/>
  <c r="B38" i="1"/>
  <c r="D38" i="1" s="1"/>
  <c r="I38" i="1" s="1"/>
  <c r="J38" i="1" s="1"/>
  <c r="K37" i="1"/>
  <c r="C37" i="1"/>
  <c r="B37" i="1"/>
  <c r="D37" i="1" s="1"/>
  <c r="K36" i="1"/>
  <c r="C36" i="1"/>
  <c r="B36" i="1"/>
  <c r="K35" i="1"/>
  <c r="C35" i="1"/>
  <c r="B35" i="1"/>
  <c r="D35" i="1" s="1"/>
  <c r="K34" i="1"/>
  <c r="C34" i="1"/>
  <c r="B34" i="1"/>
  <c r="D34" i="1" s="1"/>
  <c r="I34" i="1" s="1"/>
  <c r="J34" i="1" s="1"/>
  <c r="K33" i="1"/>
  <c r="C33" i="1"/>
  <c r="B33" i="1"/>
  <c r="D33" i="1" s="1"/>
  <c r="K32" i="1"/>
  <c r="C32" i="1"/>
  <c r="B32" i="1"/>
  <c r="K31" i="1"/>
  <c r="C31" i="1"/>
  <c r="B31" i="1"/>
  <c r="D31" i="1" s="1"/>
  <c r="K30" i="1"/>
  <c r="C30" i="1"/>
  <c r="B30" i="1"/>
  <c r="D30" i="1" s="1"/>
  <c r="I30" i="1" s="1"/>
  <c r="J30" i="1" s="1"/>
  <c r="K29" i="1"/>
  <c r="C29" i="1"/>
  <c r="B29" i="1"/>
  <c r="K28" i="1"/>
  <c r="C28" i="1"/>
  <c r="B28" i="1"/>
  <c r="K27" i="1"/>
  <c r="C27" i="1"/>
  <c r="B27" i="1"/>
  <c r="D27" i="1" s="1"/>
  <c r="K26" i="1"/>
  <c r="C26" i="1"/>
  <c r="B26" i="1"/>
  <c r="D26" i="1" s="1"/>
  <c r="I26" i="1" s="1"/>
  <c r="J26" i="1" s="1"/>
  <c r="K25" i="1"/>
  <c r="C25" i="1"/>
  <c r="B25" i="1"/>
  <c r="D25" i="1" s="1"/>
  <c r="K24" i="1"/>
  <c r="C24" i="1"/>
  <c r="B24" i="1"/>
  <c r="K23" i="1"/>
  <c r="B23" i="1"/>
  <c r="K22" i="1"/>
  <c r="C22" i="1"/>
  <c r="D22" i="1" s="1"/>
  <c r="B22" i="1"/>
  <c r="D23" i="1" l="1"/>
  <c r="D24" i="1"/>
  <c r="I24" i="1" s="1"/>
  <c r="J24" i="1" s="1"/>
  <c r="D28" i="1"/>
  <c r="I28" i="1" s="1"/>
  <c r="J28" i="1" s="1"/>
  <c r="D32" i="1"/>
  <c r="I32" i="1" s="1"/>
  <c r="J32" i="1" s="1"/>
  <c r="D36" i="1"/>
  <c r="I36" i="1" s="1"/>
  <c r="J36" i="1" s="1"/>
  <c r="D29" i="1"/>
  <c r="I29" i="1" s="1"/>
  <c r="J29" i="1" s="1"/>
  <c r="D56" i="2"/>
  <c r="D65" i="2"/>
  <c r="E65" i="2" s="1"/>
  <c r="F65" i="2" s="1"/>
  <c r="H65" i="2" s="1"/>
  <c r="D58" i="2"/>
  <c r="I58" i="2" s="1"/>
  <c r="J58" i="2" s="1"/>
  <c r="D63" i="2"/>
  <c r="I63" i="2" s="1"/>
  <c r="J63" i="2" s="1"/>
  <c r="D23" i="2"/>
  <c r="D30" i="2"/>
  <c r="I30" i="2" s="1"/>
  <c r="J30" i="2" s="1"/>
  <c r="D21" i="2"/>
  <c r="E21" i="2" s="1"/>
  <c r="F21" i="2" s="1"/>
  <c r="D28" i="2"/>
  <c r="I28" i="2" s="1"/>
  <c r="J28" i="2" s="1"/>
  <c r="D20" i="2"/>
  <c r="I20" i="2" s="1"/>
  <c r="J20" i="2" s="1"/>
  <c r="D24" i="2"/>
  <c r="E24" i="2" s="1"/>
  <c r="F24" i="2" s="1"/>
  <c r="D59" i="2"/>
  <c r="I59" i="2" s="1"/>
  <c r="J59" i="2" s="1"/>
  <c r="D18" i="2"/>
  <c r="E18" i="2" s="1"/>
  <c r="F18" i="2" s="1"/>
  <c r="G18" i="2" s="1"/>
  <c r="D22" i="2"/>
  <c r="I22" i="2" s="1"/>
  <c r="J22" i="2" s="1"/>
  <c r="D26" i="2"/>
  <c r="I26" i="2" s="1"/>
  <c r="J26" i="2" s="1"/>
  <c r="D57" i="2"/>
  <c r="I57" i="2" s="1"/>
  <c r="J57" i="2" s="1"/>
  <c r="D61" i="2"/>
  <c r="I61" i="2" s="1"/>
  <c r="J61" i="2" s="1"/>
  <c r="D29" i="2"/>
  <c r="E29" i="2" s="1"/>
  <c r="F29" i="2" s="1"/>
  <c r="D64" i="2"/>
  <c r="I64" i="2" s="1"/>
  <c r="J64" i="2" s="1"/>
  <c r="I23" i="2"/>
  <c r="J23" i="2" s="1"/>
  <c r="E23" i="2"/>
  <c r="F23" i="2" s="1"/>
  <c r="D25" i="2"/>
  <c r="E56" i="2"/>
  <c r="F56" i="2" s="1"/>
  <c r="G56" i="2" s="1"/>
  <c r="I56" i="2"/>
  <c r="J56" i="2" s="1"/>
  <c r="D19" i="2"/>
  <c r="D27" i="2"/>
  <c r="E58" i="2"/>
  <c r="F58" i="2" s="1"/>
  <c r="D60" i="2"/>
  <c r="D62" i="2"/>
  <c r="D66" i="2"/>
  <c r="I35" i="1"/>
  <c r="J35" i="1" s="1"/>
  <c r="E35" i="1"/>
  <c r="F35" i="1" s="1"/>
  <c r="I25" i="1"/>
  <c r="J25" i="1" s="1"/>
  <c r="E25" i="1"/>
  <c r="F25" i="1" s="1"/>
  <c r="I23" i="1"/>
  <c r="J23" i="1" s="1"/>
  <c r="E23" i="1"/>
  <c r="F23" i="1" s="1"/>
  <c r="I31" i="1"/>
  <c r="J31" i="1" s="1"/>
  <c r="E31" i="1"/>
  <c r="F31" i="1" s="1"/>
  <c r="E29" i="1"/>
  <c r="F29" i="1" s="1"/>
  <c r="I37" i="1"/>
  <c r="J37" i="1" s="1"/>
  <c r="E37" i="1"/>
  <c r="F37" i="1" s="1"/>
  <c r="E22" i="1"/>
  <c r="F22" i="1" s="1"/>
  <c r="G22" i="1" s="1"/>
  <c r="I22" i="1"/>
  <c r="J22" i="1" s="1"/>
  <c r="I27" i="1"/>
  <c r="J27" i="1" s="1"/>
  <c r="E27" i="1"/>
  <c r="F27" i="1" s="1"/>
  <c r="I33" i="1"/>
  <c r="J33" i="1" s="1"/>
  <c r="E33" i="1"/>
  <c r="F33" i="1" s="1"/>
  <c r="E24" i="1"/>
  <c r="F24" i="1" s="1"/>
  <c r="E26" i="1"/>
  <c r="F26" i="1" s="1"/>
  <c r="E30" i="1"/>
  <c r="F30" i="1" s="1"/>
  <c r="E32" i="1"/>
  <c r="F32" i="1" s="1"/>
  <c r="E34" i="1"/>
  <c r="F34" i="1" s="1"/>
  <c r="E36" i="1"/>
  <c r="F36" i="1" s="1"/>
  <c r="E38" i="1"/>
  <c r="F38" i="1" s="1"/>
  <c r="E28" i="1"/>
  <c r="F28" i="1" s="1"/>
  <c r="E59" i="2" l="1"/>
  <c r="F59" i="2" s="1"/>
  <c r="G59" i="2" s="1"/>
  <c r="E30" i="2"/>
  <c r="F30" i="2" s="1"/>
  <c r="E64" i="2"/>
  <c r="F64" i="2" s="1"/>
  <c r="H64" i="2" s="1"/>
  <c r="E26" i="2"/>
  <c r="F26" i="2" s="1"/>
  <c r="H26" i="2" s="1"/>
  <c r="I29" i="2"/>
  <c r="J29" i="2" s="1"/>
  <c r="E61" i="2"/>
  <c r="F61" i="2" s="1"/>
  <c r="H61" i="2" s="1"/>
  <c r="E63" i="2"/>
  <c r="F63" i="2" s="1"/>
  <c r="H63" i="2" s="1"/>
  <c r="G65" i="2"/>
  <c r="H59" i="2"/>
  <c r="I65" i="2"/>
  <c r="J65" i="2" s="1"/>
  <c r="E57" i="2"/>
  <c r="F57" i="2" s="1"/>
  <c r="I24" i="2"/>
  <c r="J24" i="2" s="1"/>
  <c r="E22" i="2"/>
  <c r="F22" i="2" s="1"/>
  <c r="G22" i="2" s="1"/>
  <c r="I21" i="2"/>
  <c r="J21" i="2" s="1"/>
  <c r="I18" i="2"/>
  <c r="J18" i="2" s="1"/>
  <c r="E28" i="2"/>
  <c r="F28" i="2" s="1"/>
  <c r="H28" i="2" s="1"/>
  <c r="E20" i="2"/>
  <c r="F20" i="2" s="1"/>
  <c r="G20" i="2" s="1"/>
  <c r="G24" i="2"/>
  <c r="H24" i="2"/>
  <c r="G26" i="2"/>
  <c r="I62" i="2"/>
  <c r="J62" i="2" s="1"/>
  <c r="E62" i="2"/>
  <c r="F62" i="2" s="1"/>
  <c r="I25" i="2"/>
  <c r="J25" i="2" s="1"/>
  <c r="E25" i="2"/>
  <c r="F25" i="2" s="1"/>
  <c r="H29" i="2"/>
  <c r="G29" i="2"/>
  <c r="I60" i="2"/>
  <c r="J60" i="2" s="1"/>
  <c r="E60" i="2"/>
  <c r="F60" i="2" s="1"/>
  <c r="I27" i="2"/>
  <c r="J27" i="2" s="1"/>
  <c r="E27" i="2"/>
  <c r="F27" i="2" s="1"/>
  <c r="I19" i="2"/>
  <c r="J19" i="2" s="1"/>
  <c r="E19" i="2"/>
  <c r="F19" i="2" s="1"/>
  <c r="G30" i="2"/>
  <c r="H30" i="2"/>
  <c r="H21" i="2"/>
  <c r="G21" i="2"/>
  <c r="I66" i="2"/>
  <c r="J66" i="2" s="1"/>
  <c r="E66" i="2"/>
  <c r="F66" i="2" s="1"/>
  <c r="H58" i="2"/>
  <c r="G58" i="2"/>
  <c r="H23" i="2"/>
  <c r="G23" i="2"/>
  <c r="G36" i="1"/>
  <c r="H36" i="1"/>
  <c r="G27" i="1"/>
  <c r="H27" i="1"/>
  <c r="H31" i="1"/>
  <c r="G31" i="1"/>
  <c r="G34" i="1"/>
  <c r="H34" i="1"/>
  <c r="G28" i="1"/>
  <c r="H28" i="1"/>
  <c r="G32" i="1"/>
  <c r="H32" i="1"/>
  <c r="H33" i="1"/>
  <c r="G33" i="1"/>
  <c r="H29" i="1"/>
  <c r="G29" i="1"/>
  <c r="G23" i="1"/>
  <c r="H23" i="1"/>
  <c r="H35" i="1"/>
  <c r="G35" i="1"/>
  <c r="G26" i="1"/>
  <c r="H26" i="1"/>
  <c r="H37" i="1"/>
  <c r="G37" i="1"/>
  <c r="G25" i="1"/>
  <c r="H25" i="1"/>
  <c r="G24" i="1"/>
  <c r="H24" i="1"/>
  <c r="G38" i="1"/>
  <c r="H38" i="1"/>
  <c r="G30" i="1"/>
  <c r="H30" i="1"/>
  <c r="G64" i="2" l="1"/>
  <c r="H20" i="2"/>
  <c r="G63" i="2"/>
  <c r="G61" i="2"/>
  <c r="G57" i="2"/>
  <c r="H57" i="2"/>
  <c r="H22" i="2"/>
  <c r="G28" i="2"/>
  <c r="H27" i="2"/>
  <c r="G27" i="2"/>
  <c r="H60" i="2"/>
  <c r="G60" i="2"/>
  <c r="H25" i="2"/>
  <c r="G25" i="2"/>
  <c r="H62" i="2"/>
  <c r="G62" i="2"/>
  <c r="H19" i="2"/>
  <c r="G19" i="2"/>
  <c r="H66" i="2"/>
  <c r="G66" i="2"/>
  <c r="N160" i="1"/>
  <c r="N181" i="1"/>
  <c r="H221" i="1" l="1"/>
  <c r="G221" i="1"/>
  <c r="F221" i="1"/>
  <c r="F222" i="1" s="1"/>
  <c r="H212" i="1"/>
  <c r="G212" i="1"/>
  <c r="F212" i="1"/>
  <c r="F214" i="1" s="1"/>
  <c r="F215" i="1" s="1"/>
  <c r="H222" i="1"/>
  <c r="G222" i="1"/>
  <c r="H614" i="1"/>
  <c r="H615" i="1" s="1"/>
  <c r="G614" i="1"/>
  <c r="G615" i="1" s="1"/>
  <c r="F614" i="1"/>
  <c r="F615" i="1" s="1"/>
  <c r="H605" i="1"/>
  <c r="G605" i="1"/>
  <c r="F605" i="1"/>
  <c r="F607" i="1" s="1"/>
  <c r="F608" i="1" s="1"/>
  <c r="G555" i="1"/>
  <c r="G577" i="1" s="1"/>
  <c r="G556" i="1"/>
  <c r="G557" i="1" s="1"/>
  <c r="G561" i="1"/>
  <c r="G562" i="1" s="1"/>
  <c r="G570" i="1"/>
  <c r="G572" i="1"/>
  <c r="G573" i="1" s="1"/>
  <c r="G581" i="1"/>
  <c r="G587" i="1"/>
  <c r="G591" i="1"/>
  <c r="G592" i="1" s="1"/>
  <c r="F591" i="1"/>
  <c r="F592" i="1" s="1"/>
  <c r="N574" i="1"/>
  <c r="F572" i="1"/>
  <c r="F583" i="1" s="1"/>
  <c r="F570" i="1"/>
  <c r="F561" i="1"/>
  <c r="F562" i="1" s="1"/>
  <c r="F556" i="1"/>
  <c r="F558" i="1" s="1"/>
  <c r="F559" i="1" s="1"/>
  <c r="F555" i="1"/>
  <c r="F587" i="1" s="1"/>
  <c r="F588" i="1" s="1"/>
  <c r="N553" i="1"/>
  <c r="I494" i="1"/>
  <c r="H494" i="1"/>
  <c r="H495" i="1" s="1"/>
  <c r="G494" i="1"/>
  <c r="F494" i="1"/>
  <c r="F495" i="1" s="1"/>
  <c r="E494" i="1"/>
  <c r="N477" i="1"/>
  <c r="N456" i="1"/>
  <c r="H475" i="1"/>
  <c r="F475" i="1"/>
  <c r="I473" i="1"/>
  <c r="G473" i="1"/>
  <c r="E473" i="1"/>
  <c r="G356" i="1"/>
  <c r="G378" i="1" s="1"/>
  <c r="H356" i="1"/>
  <c r="G357" i="1"/>
  <c r="G358" i="1" s="1"/>
  <c r="H357" i="1"/>
  <c r="H359" i="1" s="1"/>
  <c r="H360" i="1" s="1"/>
  <c r="G362" i="1"/>
  <c r="G363" i="1" s="1"/>
  <c r="H362" i="1"/>
  <c r="H363" i="1"/>
  <c r="H364" i="1" s="1"/>
  <c r="H365" i="1" s="1"/>
  <c r="G371" i="1"/>
  <c r="H371" i="1"/>
  <c r="G373" i="1"/>
  <c r="G374" i="1" s="1"/>
  <c r="H373" i="1"/>
  <c r="H374" i="1" s="1"/>
  <c r="G388" i="1"/>
  <c r="G392" i="1"/>
  <c r="G393" i="1" s="1"/>
  <c r="H392" i="1"/>
  <c r="H393" i="1" s="1"/>
  <c r="F392" i="1"/>
  <c r="F393" i="1" s="1"/>
  <c r="N375" i="1"/>
  <c r="F373" i="1"/>
  <c r="F384" i="1" s="1"/>
  <c r="F371" i="1"/>
  <c r="F362" i="1"/>
  <c r="F363" i="1" s="1"/>
  <c r="F357" i="1"/>
  <c r="F359" i="1" s="1"/>
  <c r="F360" i="1" s="1"/>
  <c r="F356" i="1"/>
  <c r="N354" i="1"/>
  <c r="K301" i="1"/>
  <c r="K302" i="1"/>
  <c r="K303" i="1"/>
  <c r="K304" i="1"/>
  <c r="K305" i="1"/>
  <c r="K306" i="1"/>
  <c r="K307" i="1"/>
  <c r="K308" i="1"/>
  <c r="K309" i="1"/>
  <c r="K310" i="1"/>
  <c r="K300" i="1"/>
  <c r="C301" i="1"/>
  <c r="C302" i="1"/>
  <c r="C303" i="1"/>
  <c r="C304" i="1"/>
  <c r="C305" i="1"/>
  <c r="C306" i="1"/>
  <c r="C307" i="1"/>
  <c r="C308" i="1"/>
  <c r="C309" i="1"/>
  <c r="C310" i="1"/>
  <c r="C300" i="1"/>
  <c r="B301" i="1"/>
  <c r="B302" i="1"/>
  <c r="B303" i="1"/>
  <c r="B304" i="1"/>
  <c r="B305" i="1"/>
  <c r="B306" i="1"/>
  <c r="B307" i="1"/>
  <c r="B308" i="1"/>
  <c r="B309" i="1"/>
  <c r="B310" i="1"/>
  <c r="B300" i="1"/>
  <c r="B271" i="1"/>
  <c r="C271" i="1"/>
  <c r="K271" i="1"/>
  <c r="K263" i="1"/>
  <c r="K264" i="1"/>
  <c r="K265" i="1"/>
  <c r="K266" i="1"/>
  <c r="K267" i="1"/>
  <c r="K268" i="1"/>
  <c r="K269" i="1"/>
  <c r="K270" i="1"/>
  <c r="K272" i="1"/>
  <c r="K273" i="1"/>
  <c r="K274" i="1"/>
  <c r="K262" i="1"/>
  <c r="C263" i="1"/>
  <c r="C264" i="1"/>
  <c r="C265" i="1"/>
  <c r="C266" i="1"/>
  <c r="C267" i="1"/>
  <c r="C268" i="1"/>
  <c r="C269" i="1"/>
  <c r="C270" i="1"/>
  <c r="C272" i="1"/>
  <c r="C273" i="1"/>
  <c r="C274" i="1"/>
  <c r="C262" i="1"/>
  <c r="B263" i="1"/>
  <c r="D263" i="1" s="1"/>
  <c r="I263" i="1" s="1"/>
  <c r="J263" i="1" s="1"/>
  <c r="B264" i="1"/>
  <c r="B265" i="1"/>
  <c r="D265" i="1" s="1"/>
  <c r="I265" i="1" s="1"/>
  <c r="J265" i="1" s="1"/>
  <c r="B266" i="1"/>
  <c r="D266" i="1" s="1"/>
  <c r="I266" i="1" s="1"/>
  <c r="J266" i="1" s="1"/>
  <c r="B267" i="1"/>
  <c r="D267" i="1" s="1"/>
  <c r="I267" i="1" s="1"/>
  <c r="J267" i="1" s="1"/>
  <c r="B268" i="1"/>
  <c r="B269" i="1"/>
  <c r="D269" i="1" s="1"/>
  <c r="I269" i="1" s="1"/>
  <c r="J269" i="1" s="1"/>
  <c r="B270" i="1"/>
  <c r="D270" i="1" s="1"/>
  <c r="I270" i="1" s="1"/>
  <c r="J270" i="1" s="1"/>
  <c r="B272" i="1"/>
  <c r="D272" i="1" s="1"/>
  <c r="I272" i="1" s="1"/>
  <c r="J272" i="1" s="1"/>
  <c r="B273" i="1"/>
  <c r="D273" i="1" s="1"/>
  <c r="I273" i="1" s="1"/>
  <c r="J273" i="1" s="1"/>
  <c r="B274" i="1"/>
  <c r="D274" i="1" s="1"/>
  <c r="I274" i="1" s="1"/>
  <c r="J274" i="1" s="1"/>
  <c r="B262" i="1"/>
  <c r="D262" i="1" s="1"/>
  <c r="I262" i="1" s="1"/>
  <c r="D268" i="1"/>
  <c r="I268" i="1" s="1"/>
  <c r="J268" i="1" s="1"/>
  <c r="D264" i="1"/>
  <c r="I264" i="1" s="1"/>
  <c r="J264" i="1" s="1"/>
  <c r="D300" i="1" l="1"/>
  <c r="I300" i="1" s="1"/>
  <c r="J300" i="1" s="1"/>
  <c r="G375" i="1"/>
  <c r="G376" i="1" s="1"/>
  <c r="D304" i="1"/>
  <c r="I304" i="1" s="1"/>
  <c r="J304" i="1" s="1"/>
  <c r="G359" i="1"/>
  <c r="G360" i="1" s="1"/>
  <c r="H358" i="1"/>
  <c r="G364" i="1"/>
  <c r="G365" i="1" s="1"/>
  <c r="G367" i="1"/>
  <c r="H367" i="1"/>
  <c r="H375" i="1"/>
  <c r="H376" i="1" s="1"/>
  <c r="G384" i="1"/>
  <c r="G379" i="1"/>
  <c r="G380" i="1" s="1"/>
  <c r="G381" i="1" s="1"/>
  <c r="H366" i="1"/>
  <c r="H388" i="1"/>
  <c r="H384" i="1"/>
  <c r="G366" i="1"/>
  <c r="H382" i="1"/>
  <c r="H383" i="1" s="1"/>
  <c r="H378" i="1"/>
  <c r="G382" i="1"/>
  <c r="G383" i="1" s="1"/>
  <c r="F211" i="1"/>
  <c r="F216" i="1" s="1"/>
  <c r="F217" i="1" s="1"/>
  <c r="F218" i="1" s="1"/>
  <c r="D308" i="1"/>
  <c r="I308" i="1" s="1"/>
  <c r="J308" i="1" s="1"/>
  <c r="D302" i="1"/>
  <c r="I302" i="1" s="1"/>
  <c r="J302" i="1" s="1"/>
  <c r="F213" i="1"/>
  <c r="H213" i="1"/>
  <c r="H211" i="1"/>
  <c r="H216" i="1" s="1"/>
  <c r="H217" i="1" s="1"/>
  <c r="H218" i="1" s="1"/>
  <c r="G213" i="1"/>
  <c r="H214" i="1"/>
  <c r="H215" i="1" s="1"/>
  <c r="G211" i="1"/>
  <c r="G216" i="1" s="1"/>
  <c r="G217" i="1" s="1"/>
  <c r="G218" i="1" s="1"/>
  <c r="G214" i="1"/>
  <c r="G215" i="1" s="1"/>
  <c r="D305" i="1"/>
  <c r="I305" i="1" s="1"/>
  <c r="J305" i="1" s="1"/>
  <c r="D303" i="1"/>
  <c r="I303" i="1" s="1"/>
  <c r="J303" i="1" s="1"/>
  <c r="D301" i="1"/>
  <c r="I301" i="1" s="1"/>
  <c r="J301" i="1" s="1"/>
  <c r="G583" i="1"/>
  <c r="G558" i="1"/>
  <c r="G559" i="1" s="1"/>
  <c r="F606" i="1"/>
  <c r="H606" i="1"/>
  <c r="G606" i="1"/>
  <c r="F604" i="1"/>
  <c r="F609" i="1" s="1"/>
  <c r="F610" i="1" s="1"/>
  <c r="F611" i="1" s="1"/>
  <c r="H604" i="1"/>
  <c r="H609" i="1" s="1"/>
  <c r="H610" i="1" s="1"/>
  <c r="H611" i="1" s="1"/>
  <c r="H607" i="1"/>
  <c r="H608" i="1" s="1"/>
  <c r="G604" i="1"/>
  <c r="G609" i="1" s="1"/>
  <c r="G610" i="1" s="1"/>
  <c r="G611" i="1" s="1"/>
  <c r="G607" i="1"/>
  <c r="G608" i="1" s="1"/>
  <c r="G574" i="1"/>
  <c r="G575" i="1" s="1"/>
  <c r="G588" i="1"/>
  <c r="G582" i="1"/>
  <c r="G563" i="1"/>
  <c r="G564" i="1" s="1"/>
  <c r="G565" i="1" s="1"/>
  <c r="G566" i="1"/>
  <c r="D309" i="1"/>
  <c r="I309" i="1" s="1"/>
  <c r="J309" i="1" s="1"/>
  <c r="F566" i="1"/>
  <c r="F563" i="1"/>
  <c r="F564" i="1" s="1"/>
  <c r="F565" i="1" s="1"/>
  <c r="F557" i="1"/>
  <c r="F573" i="1"/>
  <c r="F574" i="1"/>
  <c r="F575" i="1" s="1"/>
  <c r="F577" i="1"/>
  <c r="F581" i="1"/>
  <c r="F582" i="1" s="1"/>
  <c r="D310" i="1"/>
  <c r="I310" i="1" s="1"/>
  <c r="J310" i="1" s="1"/>
  <c r="F486" i="1"/>
  <c r="F477" i="1"/>
  <c r="F478" i="1" s="1"/>
  <c r="F476" i="1"/>
  <c r="H486" i="1"/>
  <c r="H477" i="1"/>
  <c r="H478" i="1" s="1"/>
  <c r="H476" i="1"/>
  <c r="E458" i="1"/>
  <c r="E484" i="1" s="1"/>
  <c r="G458" i="1"/>
  <c r="G484" i="1" s="1"/>
  <c r="I458" i="1"/>
  <c r="I490" i="1" s="1"/>
  <c r="E459" i="1"/>
  <c r="E460" i="1" s="1"/>
  <c r="G459" i="1"/>
  <c r="G460" i="1" s="1"/>
  <c r="I459" i="1"/>
  <c r="I460" i="1" s="1"/>
  <c r="G461" i="1"/>
  <c r="G462" i="1" s="1"/>
  <c r="F464" i="1"/>
  <c r="F465" i="1" s="1"/>
  <c r="F466" i="1" s="1"/>
  <c r="F467" i="1" s="1"/>
  <c r="H464" i="1"/>
  <c r="H465" i="1" s="1"/>
  <c r="H466" i="1" s="1"/>
  <c r="H467" i="1"/>
  <c r="H469" i="1"/>
  <c r="F473" i="1"/>
  <c r="H473" i="1"/>
  <c r="E475" i="1"/>
  <c r="G475" i="1"/>
  <c r="I475" i="1"/>
  <c r="G490" i="1"/>
  <c r="E495" i="1"/>
  <c r="G495" i="1"/>
  <c r="I495" i="1"/>
  <c r="F458" i="1"/>
  <c r="F484" i="1" s="1"/>
  <c r="F485" i="1" s="1"/>
  <c r="H458" i="1"/>
  <c r="H484" i="1" s="1"/>
  <c r="H485" i="1" s="1"/>
  <c r="F459" i="1"/>
  <c r="F460" i="1" s="1"/>
  <c r="H459" i="1"/>
  <c r="H460" i="1" s="1"/>
  <c r="H461" i="1"/>
  <c r="H462" i="1" s="1"/>
  <c r="E464" i="1"/>
  <c r="E465" i="1" s="1"/>
  <c r="E466" i="1" s="1"/>
  <c r="E467" i="1" s="1"/>
  <c r="G464" i="1"/>
  <c r="G465" i="1" s="1"/>
  <c r="G466" i="1" s="1"/>
  <c r="G467" i="1" s="1"/>
  <c r="I464" i="1"/>
  <c r="I465" i="1" s="1"/>
  <c r="I466" i="1" s="1"/>
  <c r="I467" i="1" s="1"/>
  <c r="G389" i="1"/>
  <c r="H389" i="1"/>
  <c r="D271" i="1"/>
  <c r="I271" i="1" s="1"/>
  <c r="J271" i="1" s="1"/>
  <c r="D306" i="1"/>
  <c r="I306" i="1" s="1"/>
  <c r="J306" i="1" s="1"/>
  <c r="F367" i="1"/>
  <c r="F364" i="1"/>
  <c r="F365" i="1" s="1"/>
  <c r="F366" i="1" s="1"/>
  <c r="F358" i="1"/>
  <c r="F374" i="1"/>
  <c r="F375" i="1"/>
  <c r="F376" i="1" s="1"/>
  <c r="F378" i="1"/>
  <c r="F382" i="1"/>
  <c r="F383" i="1" s="1"/>
  <c r="F388" i="1"/>
  <c r="F389" i="1" s="1"/>
  <c r="E310" i="1"/>
  <c r="F310" i="1" s="1"/>
  <c r="E305" i="1"/>
  <c r="F305" i="1" s="1"/>
  <c r="E300" i="1"/>
  <c r="F300" i="1" s="1"/>
  <c r="G300" i="1" s="1"/>
  <c r="E309" i="1"/>
  <c r="F309" i="1" s="1"/>
  <c r="E306" i="1"/>
  <c r="F306" i="1" s="1"/>
  <c r="E304" i="1"/>
  <c r="F304" i="1" s="1"/>
  <c r="E302" i="1"/>
  <c r="F302" i="1" s="1"/>
  <c r="D307" i="1"/>
  <c r="I307" i="1" s="1"/>
  <c r="J307" i="1" s="1"/>
  <c r="E262" i="1"/>
  <c r="F262" i="1" s="1"/>
  <c r="G262" i="1" s="1"/>
  <c r="E273" i="1"/>
  <c r="F273" i="1" s="1"/>
  <c r="E270" i="1"/>
  <c r="F270" i="1" s="1"/>
  <c r="E268" i="1"/>
  <c r="F268" i="1" s="1"/>
  <c r="E266" i="1"/>
  <c r="F266" i="1" s="1"/>
  <c r="E264" i="1"/>
  <c r="F264" i="1" s="1"/>
  <c r="E274" i="1"/>
  <c r="F274" i="1" s="1"/>
  <c r="E272" i="1"/>
  <c r="F272" i="1" s="1"/>
  <c r="E269" i="1"/>
  <c r="F269" i="1" s="1"/>
  <c r="E267" i="1"/>
  <c r="F267" i="1" s="1"/>
  <c r="E265" i="1"/>
  <c r="F265" i="1" s="1"/>
  <c r="E263" i="1"/>
  <c r="F263" i="1" s="1"/>
  <c r="E271" i="1"/>
  <c r="F271" i="1" s="1"/>
  <c r="J262" i="1"/>
  <c r="I484" i="1" l="1"/>
  <c r="E301" i="1"/>
  <c r="F301" i="1" s="1"/>
  <c r="F490" i="1"/>
  <c r="F491" i="1" s="1"/>
  <c r="I461" i="1"/>
  <c r="I462" i="1" s="1"/>
  <c r="F461" i="1"/>
  <c r="F462" i="1" s="1"/>
  <c r="E461" i="1"/>
  <c r="E462" i="1" s="1"/>
  <c r="E308" i="1"/>
  <c r="F308" i="1" s="1"/>
  <c r="H490" i="1"/>
  <c r="H491" i="1" s="1"/>
  <c r="F469" i="1"/>
  <c r="E303" i="1"/>
  <c r="F303" i="1" s="1"/>
  <c r="H303" i="1" s="1"/>
  <c r="H379" i="1"/>
  <c r="H380" i="1" s="1"/>
  <c r="H381" i="1" s="1"/>
  <c r="E490" i="1"/>
  <c r="E491" i="1" s="1"/>
  <c r="H368" i="1"/>
  <c r="H369" i="1" s="1"/>
  <c r="H370" i="1" s="1"/>
  <c r="H385" i="1"/>
  <c r="H386" i="1" s="1"/>
  <c r="H387" i="1" s="1"/>
  <c r="G385" i="1"/>
  <c r="G386" i="1" s="1"/>
  <c r="G387" i="1" s="1"/>
  <c r="G368" i="1"/>
  <c r="G369" i="1" s="1"/>
  <c r="G370" i="1" s="1"/>
  <c r="G578" i="1"/>
  <c r="G579" i="1" s="1"/>
  <c r="G580" i="1" s="1"/>
  <c r="G567" i="1"/>
  <c r="G568" i="1" s="1"/>
  <c r="G569" i="1" s="1"/>
  <c r="G584" i="1"/>
  <c r="G585" i="1" s="1"/>
  <c r="G586" i="1" s="1"/>
  <c r="F567" i="1"/>
  <c r="F568" i="1" s="1"/>
  <c r="F569" i="1" s="1"/>
  <c r="F584" i="1"/>
  <c r="F585" i="1" s="1"/>
  <c r="F586" i="1" s="1"/>
  <c r="F578" i="1"/>
  <c r="F579" i="1" s="1"/>
  <c r="F580" i="1" s="1"/>
  <c r="G485" i="1"/>
  <c r="G491" i="1"/>
  <c r="F480" i="1"/>
  <c r="F481" i="1" s="1"/>
  <c r="F482" i="1" s="1"/>
  <c r="F483" i="1" s="1"/>
  <c r="F468" i="1"/>
  <c r="I486" i="1"/>
  <c r="I477" i="1"/>
  <c r="I478" i="1" s="1"/>
  <c r="I476" i="1"/>
  <c r="E486" i="1"/>
  <c r="E477" i="1"/>
  <c r="E478" i="1" s="1"/>
  <c r="E476" i="1"/>
  <c r="I468" i="1"/>
  <c r="I480" i="1"/>
  <c r="E468" i="1"/>
  <c r="E480" i="1"/>
  <c r="I491" i="1"/>
  <c r="I485" i="1"/>
  <c r="E485" i="1"/>
  <c r="I469" i="1"/>
  <c r="E469" i="1"/>
  <c r="H480" i="1"/>
  <c r="H481" i="1" s="1"/>
  <c r="H482" i="1" s="1"/>
  <c r="H483" i="1" s="1"/>
  <c r="H468" i="1"/>
  <c r="G486" i="1"/>
  <c r="G477" i="1"/>
  <c r="G478" i="1" s="1"/>
  <c r="G476" i="1"/>
  <c r="G468" i="1"/>
  <c r="G480" i="1"/>
  <c r="G469" i="1"/>
  <c r="F368" i="1"/>
  <c r="F369" i="1" s="1"/>
  <c r="F370" i="1" s="1"/>
  <c r="F385" i="1"/>
  <c r="F386" i="1" s="1"/>
  <c r="F387" i="1" s="1"/>
  <c r="F379" i="1"/>
  <c r="F380" i="1" s="1"/>
  <c r="F381" i="1" s="1"/>
  <c r="E307" i="1"/>
  <c r="F307" i="1" s="1"/>
  <c r="H307" i="1" s="1"/>
  <c r="H309" i="1"/>
  <c r="G309" i="1"/>
  <c r="G303" i="1"/>
  <c r="H310" i="1"/>
  <c r="G310" i="1"/>
  <c r="H308" i="1"/>
  <c r="G308" i="1"/>
  <c r="H306" i="1"/>
  <c r="G306" i="1"/>
  <c r="H304" i="1"/>
  <c r="G304" i="1"/>
  <c r="H302" i="1"/>
  <c r="G302" i="1"/>
  <c r="H305" i="1"/>
  <c r="G305" i="1"/>
  <c r="H301" i="1"/>
  <c r="G301" i="1"/>
  <c r="G271" i="1"/>
  <c r="H271" i="1"/>
  <c r="H273" i="1"/>
  <c r="G273" i="1"/>
  <c r="H274" i="1"/>
  <c r="G274" i="1"/>
  <c r="H269" i="1"/>
  <c r="G269" i="1"/>
  <c r="H264" i="1"/>
  <c r="G264" i="1"/>
  <c r="H272" i="1"/>
  <c r="G272" i="1"/>
  <c r="H267" i="1"/>
  <c r="G267" i="1"/>
  <c r="H270" i="1"/>
  <c r="G270" i="1"/>
  <c r="H268" i="1"/>
  <c r="G268" i="1"/>
  <c r="H266" i="1"/>
  <c r="G266" i="1"/>
  <c r="H265" i="1"/>
  <c r="G265" i="1"/>
  <c r="H263" i="1"/>
  <c r="G263" i="1"/>
  <c r="G168" i="1"/>
  <c r="G169" i="1" s="1"/>
  <c r="G170" i="1" s="1"/>
  <c r="G171" i="1" s="1"/>
  <c r="G177" i="1"/>
  <c r="G179" i="1"/>
  <c r="G180" i="1" s="1"/>
  <c r="G198" i="1"/>
  <c r="G199" i="1" s="1"/>
  <c r="F168" i="1"/>
  <c r="F169" i="1" s="1"/>
  <c r="G163" i="1"/>
  <c r="G164" i="1" s="1"/>
  <c r="G162" i="1"/>
  <c r="G184" i="1" s="1"/>
  <c r="F198" i="1"/>
  <c r="F199" i="1" s="1"/>
  <c r="F179" i="1"/>
  <c r="F190" i="1" s="1"/>
  <c r="F177" i="1"/>
  <c r="F163" i="1"/>
  <c r="F165" i="1" s="1"/>
  <c r="F166" i="1" s="1"/>
  <c r="F162" i="1"/>
  <c r="B110" i="1"/>
  <c r="C110" i="1"/>
  <c r="K110" i="1"/>
  <c r="K107" i="1"/>
  <c r="K108" i="1"/>
  <c r="K109" i="1"/>
  <c r="K111" i="1"/>
  <c r="K112" i="1"/>
  <c r="K113" i="1"/>
  <c r="K114" i="1"/>
  <c r="K115" i="1"/>
  <c r="K116" i="1"/>
  <c r="K117" i="1"/>
  <c r="K118" i="1"/>
  <c r="K106" i="1"/>
  <c r="K77" i="1"/>
  <c r="K70" i="1"/>
  <c r="C107" i="1"/>
  <c r="C108" i="1"/>
  <c r="C109" i="1"/>
  <c r="C111" i="1"/>
  <c r="C112" i="1"/>
  <c r="C113" i="1"/>
  <c r="C114" i="1"/>
  <c r="C115" i="1"/>
  <c r="C116" i="1"/>
  <c r="C117" i="1"/>
  <c r="C118" i="1"/>
  <c r="C106" i="1"/>
  <c r="B107" i="1"/>
  <c r="B108" i="1"/>
  <c r="B109" i="1"/>
  <c r="D109" i="1" s="1"/>
  <c r="I109" i="1" s="1"/>
  <c r="B111" i="1"/>
  <c r="B112" i="1"/>
  <c r="B113" i="1"/>
  <c r="B114" i="1"/>
  <c r="B115" i="1"/>
  <c r="D115" i="1" s="1"/>
  <c r="I115" i="1" s="1"/>
  <c r="B116" i="1"/>
  <c r="B117" i="1"/>
  <c r="B118" i="1"/>
  <c r="B106" i="1"/>
  <c r="D112" i="1"/>
  <c r="I112" i="1" s="1"/>
  <c r="J112" i="1" s="1"/>
  <c r="B70" i="1"/>
  <c r="C70" i="1"/>
  <c r="B73" i="1"/>
  <c r="C73" i="1"/>
  <c r="K73" i="1"/>
  <c r="B75" i="1"/>
  <c r="C75" i="1"/>
  <c r="K75" i="1"/>
  <c r="B77" i="1"/>
  <c r="C77" i="1"/>
  <c r="K69" i="1"/>
  <c r="K71" i="1"/>
  <c r="K72" i="1"/>
  <c r="K74" i="1"/>
  <c r="K76" i="1"/>
  <c r="K78" i="1"/>
  <c r="K79" i="1"/>
  <c r="K80" i="1"/>
  <c r="K81" i="1"/>
  <c r="K82" i="1"/>
  <c r="K83" i="1"/>
  <c r="K84" i="1"/>
  <c r="K68" i="1"/>
  <c r="I481" i="1" l="1"/>
  <c r="I482" i="1" s="1"/>
  <c r="I483" i="1" s="1"/>
  <c r="J115" i="1"/>
  <c r="J109" i="1"/>
  <c r="G307" i="1"/>
  <c r="E481" i="1"/>
  <c r="E482" i="1" s="1"/>
  <c r="E483" i="1" s="1"/>
  <c r="E470" i="1"/>
  <c r="E471" i="1" s="1"/>
  <c r="E472" i="1" s="1"/>
  <c r="E487" i="1"/>
  <c r="E488" i="1" s="1"/>
  <c r="E489" i="1" s="1"/>
  <c r="I470" i="1"/>
  <c r="I471" i="1" s="1"/>
  <c r="I472" i="1" s="1"/>
  <c r="I487" i="1"/>
  <c r="I488" i="1" s="1"/>
  <c r="I489" i="1" s="1"/>
  <c r="G481" i="1"/>
  <c r="G482" i="1" s="1"/>
  <c r="G483" i="1" s="1"/>
  <c r="G470" i="1"/>
  <c r="G471" i="1" s="1"/>
  <c r="G472" i="1" s="1"/>
  <c r="G487" i="1"/>
  <c r="G488" i="1" s="1"/>
  <c r="G489" i="1" s="1"/>
  <c r="H470" i="1"/>
  <c r="H471" i="1" s="1"/>
  <c r="H472" i="1" s="1"/>
  <c r="H487" i="1"/>
  <c r="H488" i="1" s="1"/>
  <c r="H489" i="1" s="1"/>
  <c r="F470" i="1"/>
  <c r="F471" i="1" s="1"/>
  <c r="F472" i="1" s="1"/>
  <c r="F487" i="1"/>
  <c r="F488" i="1" s="1"/>
  <c r="F489" i="1" s="1"/>
  <c r="G190" i="1"/>
  <c r="G181" i="1"/>
  <c r="G182" i="1" s="1"/>
  <c r="G165" i="1"/>
  <c r="G166" i="1" s="1"/>
  <c r="G194" i="1"/>
  <c r="G188" i="1"/>
  <c r="G189" i="1" s="1"/>
  <c r="G173" i="1"/>
  <c r="G172" i="1"/>
  <c r="G195" i="1"/>
  <c r="D110" i="1"/>
  <c r="E110" i="1" s="1"/>
  <c r="F110" i="1" s="1"/>
  <c r="F173" i="1"/>
  <c r="F170" i="1"/>
  <c r="F171" i="1" s="1"/>
  <c r="F172" i="1" s="1"/>
  <c r="F164" i="1"/>
  <c r="F180" i="1"/>
  <c r="F181" i="1"/>
  <c r="F182" i="1" s="1"/>
  <c r="F184" i="1"/>
  <c r="F188" i="1"/>
  <c r="F189" i="1" s="1"/>
  <c r="F194" i="1"/>
  <c r="F195" i="1" s="1"/>
  <c r="D77" i="1"/>
  <c r="I77" i="1" s="1"/>
  <c r="J77" i="1" s="1"/>
  <c r="D73" i="1"/>
  <c r="E73" i="1" s="1"/>
  <c r="F73" i="1" s="1"/>
  <c r="D70" i="1"/>
  <c r="E70" i="1" s="1"/>
  <c r="F70" i="1" s="1"/>
  <c r="D118" i="1"/>
  <c r="I118" i="1" s="1"/>
  <c r="J118" i="1" s="1"/>
  <c r="D114" i="1"/>
  <c r="I114" i="1" s="1"/>
  <c r="J114" i="1" s="1"/>
  <c r="D113" i="1"/>
  <c r="I113" i="1" s="1"/>
  <c r="J113" i="1" s="1"/>
  <c r="D111" i="1"/>
  <c r="I111" i="1" s="1"/>
  <c r="J111" i="1" s="1"/>
  <c r="E118" i="1"/>
  <c r="F118" i="1" s="1"/>
  <c r="E114" i="1"/>
  <c r="F114" i="1" s="1"/>
  <c r="E113" i="1"/>
  <c r="F113" i="1" s="1"/>
  <c r="E112" i="1"/>
  <c r="F112" i="1" s="1"/>
  <c r="E115" i="1"/>
  <c r="F115" i="1" s="1"/>
  <c r="E109" i="1"/>
  <c r="F109" i="1" s="1"/>
  <c r="D106" i="1"/>
  <c r="D116" i="1"/>
  <c r="D117" i="1"/>
  <c r="D108" i="1"/>
  <c r="D107" i="1"/>
  <c r="D75" i="1"/>
  <c r="E75" i="1" s="1"/>
  <c r="F75" i="1" s="1"/>
  <c r="G75" i="1" s="1"/>
  <c r="E77" i="1"/>
  <c r="F77" i="1" s="1"/>
  <c r="I70" i="1" l="1"/>
  <c r="J70" i="1" s="1"/>
  <c r="I73" i="1"/>
  <c r="J73" i="1" s="1"/>
  <c r="I110" i="1"/>
  <c r="J110" i="1" s="1"/>
  <c r="G185" i="1"/>
  <c r="G186" i="1" s="1"/>
  <c r="G187" i="1" s="1"/>
  <c r="G191" i="1"/>
  <c r="G192" i="1" s="1"/>
  <c r="G193" i="1" s="1"/>
  <c r="G174" i="1"/>
  <c r="G175" i="1" s="1"/>
  <c r="G176" i="1" s="1"/>
  <c r="E111" i="1"/>
  <c r="F111" i="1" s="1"/>
  <c r="G111" i="1" s="1"/>
  <c r="F174" i="1"/>
  <c r="F175" i="1" s="1"/>
  <c r="F176" i="1" s="1"/>
  <c r="F191" i="1"/>
  <c r="F192" i="1" s="1"/>
  <c r="F193" i="1" s="1"/>
  <c r="F185" i="1"/>
  <c r="F186" i="1" s="1"/>
  <c r="F187" i="1" s="1"/>
  <c r="H110" i="1"/>
  <c r="G110" i="1"/>
  <c r="I75" i="1"/>
  <c r="J75" i="1" s="1"/>
  <c r="I107" i="1"/>
  <c r="J107" i="1" s="1"/>
  <c r="E107" i="1"/>
  <c r="F107" i="1" s="1"/>
  <c r="G107" i="1" s="1"/>
  <c r="I108" i="1"/>
  <c r="J108" i="1" s="1"/>
  <c r="E108" i="1"/>
  <c r="F108" i="1" s="1"/>
  <c r="H108" i="1" s="1"/>
  <c r="I116" i="1"/>
  <c r="J116" i="1" s="1"/>
  <c r="E116" i="1"/>
  <c r="F116" i="1" s="1"/>
  <c r="H116" i="1" s="1"/>
  <c r="I106" i="1"/>
  <c r="J106" i="1" s="1"/>
  <c r="E106" i="1"/>
  <c r="F106" i="1" s="1"/>
  <c r="G106" i="1" s="1"/>
  <c r="I117" i="1"/>
  <c r="J117" i="1" s="1"/>
  <c r="E117" i="1"/>
  <c r="F117" i="1" s="1"/>
  <c r="H117" i="1" s="1"/>
  <c r="H115" i="1"/>
  <c r="G115" i="1"/>
  <c r="G112" i="1"/>
  <c r="H112" i="1"/>
  <c r="H111" i="1"/>
  <c r="H118" i="1"/>
  <c r="G118" i="1"/>
  <c r="H114" i="1"/>
  <c r="G114" i="1"/>
  <c r="H113" i="1"/>
  <c r="G113" i="1"/>
  <c r="G109" i="1"/>
  <c r="H109" i="1"/>
  <c r="H75" i="1"/>
  <c r="G70" i="1"/>
  <c r="H70" i="1"/>
  <c r="G73" i="1"/>
  <c r="H73" i="1"/>
  <c r="G77" i="1"/>
  <c r="H77" i="1"/>
  <c r="G108" i="1" l="1"/>
  <c r="H107" i="1"/>
  <c r="G116" i="1"/>
  <c r="G117" i="1"/>
  <c r="C84" i="1" l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6" i="1"/>
  <c r="B76" i="1"/>
  <c r="C74" i="1"/>
  <c r="B74" i="1"/>
  <c r="C72" i="1"/>
  <c r="B72" i="1"/>
  <c r="C71" i="1"/>
  <c r="B71" i="1"/>
  <c r="C69" i="1"/>
  <c r="B69" i="1"/>
  <c r="C68" i="1"/>
  <c r="B68" i="1"/>
  <c r="D68" i="1" l="1"/>
  <c r="E68" i="1" s="1"/>
  <c r="F68" i="1" s="1"/>
  <c r="G68" i="1" s="1"/>
  <c r="D69" i="1"/>
  <c r="E69" i="1" s="1"/>
  <c r="F69" i="1" s="1"/>
  <c r="D71" i="1"/>
  <c r="I71" i="1" s="1"/>
  <c r="J71" i="1" s="1"/>
  <c r="D72" i="1"/>
  <c r="E72" i="1" s="1"/>
  <c r="F72" i="1" s="1"/>
  <c r="D74" i="1"/>
  <c r="I74" i="1" s="1"/>
  <c r="J74" i="1" s="1"/>
  <c r="D76" i="1"/>
  <c r="E76" i="1" s="1"/>
  <c r="F76" i="1" s="1"/>
  <c r="D78" i="1"/>
  <c r="I78" i="1" s="1"/>
  <c r="J78" i="1" s="1"/>
  <c r="D79" i="1"/>
  <c r="E79" i="1" s="1"/>
  <c r="F79" i="1" s="1"/>
  <c r="D80" i="1"/>
  <c r="I80" i="1" s="1"/>
  <c r="J80" i="1" s="1"/>
  <c r="D81" i="1"/>
  <c r="E81" i="1" s="1"/>
  <c r="F81" i="1" s="1"/>
  <c r="D82" i="1"/>
  <c r="I82" i="1" s="1"/>
  <c r="J82" i="1" s="1"/>
  <c r="D83" i="1"/>
  <c r="E83" i="1" s="1"/>
  <c r="F83" i="1" s="1"/>
  <c r="D84" i="1"/>
  <c r="I84" i="1" s="1"/>
  <c r="J84" i="1" s="1"/>
  <c r="I69" i="1"/>
  <c r="J69" i="1" s="1"/>
  <c r="I76" i="1"/>
  <c r="J76" i="1" s="1"/>
  <c r="I72" i="1" l="1"/>
  <c r="J72" i="1" s="1"/>
  <c r="I81" i="1"/>
  <c r="J81" i="1" s="1"/>
  <c r="I83" i="1"/>
  <c r="J83" i="1" s="1"/>
  <c r="I79" i="1"/>
  <c r="J79" i="1" s="1"/>
  <c r="E78" i="1"/>
  <c r="F78" i="1" s="1"/>
  <c r="H78" i="1" s="1"/>
  <c r="E84" i="1"/>
  <c r="F84" i="1" s="1"/>
  <c r="G84" i="1" s="1"/>
  <c r="E82" i="1"/>
  <c r="F82" i="1" s="1"/>
  <c r="H82" i="1" s="1"/>
  <c r="E80" i="1"/>
  <c r="F80" i="1" s="1"/>
  <c r="G80" i="1" s="1"/>
  <c r="I68" i="1"/>
  <c r="J68" i="1" s="1"/>
  <c r="E71" i="1"/>
  <c r="F71" i="1" s="1"/>
  <c r="H71" i="1" s="1"/>
  <c r="E74" i="1"/>
  <c r="F74" i="1" s="1"/>
  <c r="H74" i="1" s="1"/>
  <c r="H83" i="1"/>
  <c r="G83" i="1"/>
  <c r="H81" i="1"/>
  <c r="G81" i="1"/>
  <c r="H79" i="1"/>
  <c r="G79" i="1"/>
  <c r="H76" i="1"/>
  <c r="G76" i="1"/>
  <c r="H72" i="1"/>
  <c r="G72" i="1"/>
  <c r="H69" i="1"/>
  <c r="G69" i="1"/>
  <c r="H84" i="1" l="1"/>
  <c r="G71" i="1"/>
  <c r="H80" i="1"/>
  <c r="G78" i="1"/>
  <c r="G82" i="1"/>
  <c r="G74" i="1"/>
</calcChain>
</file>

<file path=xl/sharedStrings.xml><?xml version="1.0" encoding="utf-8"?>
<sst xmlns="http://schemas.openxmlformats.org/spreadsheetml/2006/main" count="950" uniqueCount="162">
  <si>
    <t>h</t>
  </si>
  <si>
    <t>[m]</t>
  </si>
  <si>
    <t>m</t>
  </si>
  <si>
    <t>S</t>
  </si>
  <si>
    <t>O</t>
  </si>
  <si>
    <t>R</t>
  </si>
  <si>
    <t>C</t>
  </si>
  <si>
    <t>v</t>
  </si>
  <si>
    <t>Q</t>
  </si>
  <si>
    <t>Fr</t>
  </si>
  <si>
    <t>τ</t>
  </si>
  <si>
    <t>[m/s]</t>
  </si>
  <si>
    <t>[Pa]</t>
  </si>
  <si>
    <t>m=</t>
  </si>
  <si>
    <t>b=</t>
  </si>
  <si>
    <t>n=</t>
  </si>
  <si>
    <t>i=</t>
  </si>
  <si>
    <t>%</t>
  </si>
  <si>
    <r>
      <t>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</si>
  <si>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r>
      <t>[m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]</t>
    </r>
  </si>
  <si>
    <t>N -leté</t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</si>
  <si>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N</t>
    </r>
    <r>
      <rPr>
        <b/>
        <sz val="11"/>
        <color theme="1"/>
        <rFont val="Calibri"/>
        <family val="2"/>
        <charset val="238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/s]</t>
    </r>
  </si>
  <si>
    <t>-</t>
  </si>
  <si>
    <t>i</t>
  </si>
  <si>
    <t>Výpočet potrubí</t>
  </si>
  <si>
    <t xml:space="preserve">Parametr </t>
  </si>
  <si>
    <t>Symbol</t>
  </si>
  <si>
    <t>m.j.</t>
  </si>
  <si>
    <t>Návrhový průtok</t>
  </si>
  <si>
    <r>
      <t>Q</t>
    </r>
    <r>
      <rPr>
        <vertAlign val="subscript"/>
        <sz val="9"/>
        <rFont val="Arial"/>
        <family val="2"/>
      </rPr>
      <t>N</t>
    </r>
  </si>
  <si>
    <r>
      <t>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s</t>
    </r>
    <r>
      <rPr>
        <vertAlign val="superscript"/>
        <sz val="9"/>
        <rFont val="Arial"/>
        <family val="2"/>
      </rPr>
      <t>-1</t>
    </r>
  </si>
  <si>
    <t xml:space="preserve">Průměr potrubí </t>
  </si>
  <si>
    <t>D</t>
  </si>
  <si>
    <t xml:space="preserve">Stupeň drsnosti </t>
  </si>
  <si>
    <t>n</t>
  </si>
  <si>
    <t>Šířka dna horního koryta</t>
  </si>
  <si>
    <t>Pořadnice sklonu svahu</t>
  </si>
  <si>
    <t>Plocha průtočného profilu</t>
  </si>
  <si>
    <r>
      <t>m</t>
    </r>
    <r>
      <rPr>
        <vertAlign val="superscript"/>
        <sz val="9"/>
        <rFont val="Arial"/>
        <family val="2"/>
      </rPr>
      <t>2</t>
    </r>
  </si>
  <si>
    <t>A</t>
  </si>
  <si>
    <t>Průtok plným profilem</t>
  </si>
  <si>
    <t>Nutný sklon pro daný průtok</t>
  </si>
  <si>
    <r>
      <t>i</t>
    </r>
    <r>
      <rPr>
        <vertAlign val="subscript"/>
        <sz val="9"/>
        <rFont val="Arial"/>
        <family val="2"/>
      </rPr>
      <t>E</t>
    </r>
  </si>
  <si>
    <t>&gt; 1</t>
  </si>
  <si>
    <r>
      <t>m</t>
    </r>
    <r>
      <rPr>
        <sz val="9"/>
        <rFont val="Arial"/>
        <family val="2"/>
      </rPr>
      <t>s</t>
    </r>
    <r>
      <rPr>
        <vertAlign val="superscript"/>
        <sz val="9"/>
        <rFont val="Arial"/>
        <family val="2"/>
      </rPr>
      <t>-1</t>
    </r>
  </si>
  <si>
    <r>
      <t>y</t>
    </r>
    <r>
      <rPr>
        <vertAlign val="subscript"/>
        <sz val="9"/>
        <rFont val="Arial"/>
        <family val="2"/>
      </rPr>
      <t>V</t>
    </r>
  </si>
  <si>
    <t>Výpočet horního koryta</t>
  </si>
  <si>
    <t>Vzdutá hloubka vody</t>
  </si>
  <si>
    <t xml:space="preserve">Střední rychlost proudění vody </t>
  </si>
  <si>
    <r>
      <t>v</t>
    </r>
    <r>
      <rPr>
        <vertAlign val="subscript"/>
        <sz val="9"/>
        <rFont val="Arial"/>
        <family val="2"/>
      </rPr>
      <t>H</t>
    </r>
  </si>
  <si>
    <t>Sklon potrubí</t>
  </si>
  <si>
    <t>b</t>
  </si>
  <si>
    <t xml:space="preserve">Q </t>
  </si>
  <si>
    <t>Tlakový průtok</t>
  </si>
  <si>
    <r>
      <t>K</t>
    </r>
    <r>
      <rPr>
        <vertAlign val="subscript"/>
        <sz val="9"/>
        <rFont val="Arial"/>
        <family val="2"/>
      </rPr>
      <t>TP</t>
    </r>
  </si>
  <si>
    <t>Rychlost vody v potrubí</t>
  </si>
  <si>
    <r>
      <t>v</t>
    </r>
    <r>
      <rPr>
        <vertAlign val="subscript"/>
        <sz val="9"/>
        <rFont val="Arial CE"/>
        <family val="2"/>
        <charset val="238"/>
      </rPr>
      <t>o</t>
    </r>
  </si>
  <si>
    <t>Rychlostní výška</t>
  </si>
  <si>
    <t>c</t>
  </si>
  <si>
    <t>Vzdutí na vtoku do potrubí</t>
  </si>
  <si>
    <r>
      <t>y</t>
    </r>
    <r>
      <rPr>
        <vertAlign val="subscript"/>
        <sz val="9"/>
        <rFont val="Arial CE"/>
        <family val="2"/>
        <charset val="238"/>
      </rPr>
      <t>V</t>
    </r>
  </si>
  <si>
    <r>
      <t>τ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</si>
  <si>
    <r>
      <t>b</t>
    </r>
    <r>
      <rPr>
        <vertAlign val="subscript"/>
        <sz val="9"/>
        <rFont val="Arial"/>
        <family val="2"/>
      </rPr>
      <t>H</t>
    </r>
  </si>
  <si>
    <r>
      <t>m</t>
    </r>
    <r>
      <rPr>
        <vertAlign val="subscript"/>
        <sz val="9"/>
        <rFont val="Arial"/>
        <family val="2"/>
      </rPr>
      <t>H</t>
    </r>
  </si>
  <si>
    <t>Průtok vody</t>
  </si>
  <si>
    <r>
      <t>Q</t>
    </r>
    <r>
      <rPr>
        <vertAlign val="subscript"/>
        <sz val="9"/>
        <rFont val="Arial"/>
        <family val="2"/>
      </rPr>
      <t>K</t>
    </r>
  </si>
  <si>
    <t xml:space="preserve">&gt; 1 </t>
  </si>
  <si>
    <t>E</t>
  </si>
  <si>
    <t>Průtok o volné hladině</t>
  </si>
  <si>
    <t>Inter</t>
  </si>
  <si>
    <t xml:space="preserve">polace </t>
  </si>
  <si>
    <t>Tabulka</t>
  </si>
  <si>
    <t xml:space="preserve">Sklon dna </t>
  </si>
  <si>
    <t xml:space="preserve">Hloubka vody v potrubí </t>
  </si>
  <si>
    <t>y</t>
  </si>
  <si>
    <t>Goniometrická funkce</t>
  </si>
  <si>
    <t>sin α</t>
  </si>
  <si>
    <t>Úhel průvodiče</t>
  </si>
  <si>
    <t>α</t>
  </si>
  <si>
    <t>cos α</t>
  </si>
  <si>
    <t>Šířka hladiny</t>
  </si>
  <si>
    <t>B</t>
  </si>
  <si>
    <t xml:space="preserve">Omočený obvod </t>
  </si>
  <si>
    <t>Hydraulický poloměr</t>
  </si>
  <si>
    <t>Rychlost proudění vody</t>
  </si>
  <si>
    <t>Kritická funkce potrubí</t>
  </si>
  <si>
    <t>Poměrná hodnota kritické funkce</t>
  </si>
  <si>
    <t>Kritická hloubka vody</t>
  </si>
  <si>
    <t>Neovlivněný vtok</t>
  </si>
  <si>
    <t>Hloubka vody ve vtoku</t>
  </si>
  <si>
    <t>Poměr plnění</t>
  </si>
  <si>
    <t>Poměrná hodnota plochy</t>
  </si>
  <si>
    <t>Výška čáry energie</t>
  </si>
  <si>
    <t>Hloubka vzduté vody</t>
  </si>
  <si>
    <t>Kriterium pro zahlcený vtok</t>
  </si>
  <si>
    <t>Ovlivněný vtok</t>
  </si>
  <si>
    <r>
      <t>f</t>
    </r>
    <r>
      <rPr>
        <b/>
        <vertAlign val="subscript"/>
        <sz val="9"/>
        <rFont val="Arial"/>
        <family val="2"/>
      </rPr>
      <t>K</t>
    </r>
    <r>
      <rPr>
        <b/>
        <sz val="9"/>
        <rFont val="Arial"/>
        <family val="2"/>
      </rPr>
      <t xml:space="preserve"> </t>
    </r>
  </si>
  <si>
    <r>
      <t>k</t>
    </r>
    <r>
      <rPr>
        <b/>
        <vertAlign val="subscript"/>
        <sz val="9"/>
        <rFont val="Arial"/>
        <family val="2"/>
      </rPr>
      <t>K</t>
    </r>
  </si>
  <si>
    <r>
      <t>K</t>
    </r>
    <r>
      <rPr>
        <vertAlign val="subscript"/>
        <sz val="9"/>
        <rFont val="Arial"/>
        <family val="2"/>
      </rPr>
      <t>VH</t>
    </r>
  </si>
  <si>
    <r>
      <t>S</t>
    </r>
    <r>
      <rPr>
        <vertAlign val="subscript"/>
        <sz val="9"/>
        <rFont val="Arial"/>
        <family val="2"/>
      </rPr>
      <t>Y</t>
    </r>
  </si>
  <si>
    <r>
      <t>f</t>
    </r>
    <r>
      <rPr>
        <vertAlign val="subscript"/>
        <sz val="9"/>
        <rFont val="Arial CE"/>
        <family val="2"/>
        <charset val="238"/>
      </rPr>
      <t>K</t>
    </r>
  </si>
  <si>
    <r>
      <t>k</t>
    </r>
    <r>
      <rPr>
        <vertAlign val="subscript"/>
        <sz val="9"/>
        <rFont val="Arial CE"/>
        <family val="2"/>
        <charset val="238"/>
      </rPr>
      <t>K</t>
    </r>
  </si>
  <si>
    <r>
      <t>k</t>
    </r>
    <r>
      <rPr>
        <b/>
        <vertAlign val="subscript"/>
        <sz val="9"/>
        <rFont val="Arial"/>
        <family val="2"/>
      </rPr>
      <t>X</t>
    </r>
  </si>
  <si>
    <r>
      <t>f</t>
    </r>
    <r>
      <rPr>
        <b/>
        <vertAlign val="subscript"/>
        <sz val="9"/>
        <rFont val="Arial"/>
        <family val="2"/>
      </rPr>
      <t>S</t>
    </r>
  </si>
  <si>
    <r>
      <t>y</t>
    </r>
    <r>
      <rPr>
        <vertAlign val="subscript"/>
        <sz val="9"/>
        <rFont val="Arial"/>
        <family val="2"/>
      </rPr>
      <t>K</t>
    </r>
  </si>
  <si>
    <r>
      <t>K</t>
    </r>
    <r>
      <rPr>
        <vertAlign val="subscript"/>
        <sz val="9"/>
        <rFont val="Arial"/>
        <family val="2"/>
      </rPr>
      <t>1</t>
    </r>
  </si>
  <si>
    <r>
      <t>y</t>
    </r>
    <r>
      <rPr>
        <vertAlign val="subscript"/>
        <sz val="9"/>
        <rFont val="Arial CE"/>
        <family val="2"/>
        <charset val="238"/>
      </rPr>
      <t>X</t>
    </r>
  </si>
  <si>
    <r>
      <t>k</t>
    </r>
    <r>
      <rPr>
        <vertAlign val="subscript"/>
        <sz val="9"/>
        <rFont val="Arial CE"/>
        <family val="2"/>
        <charset val="238"/>
      </rPr>
      <t>X</t>
    </r>
  </si>
  <si>
    <r>
      <t>f</t>
    </r>
    <r>
      <rPr>
        <vertAlign val="subscript"/>
        <sz val="9"/>
        <rFont val="Arial"/>
        <family val="2"/>
      </rPr>
      <t>S</t>
    </r>
  </si>
  <si>
    <r>
      <t>Plocha průtočného profilu pro y</t>
    </r>
    <r>
      <rPr>
        <vertAlign val="subscript"/>
        <sz val="9"/>
        <rFont val="Arial"/>
        <family val="2"/>
      </rPr>
      <t>X</t>
    </r>
  </si>
  <si>
    <r>
      <t>S</t>
    </r>
    <r>
      <rPr>
        <vertAlign val="subscript"/>
        <sz val="9"/>
        <rFont val="Arial"/>
        <family val="2"/>
      </rPr>
      <t>X</t>
    </r>
  </si>
  <si>
    <r>
      <t>K</t>
    </r>
    <r>
      <rPr>
        <vertAlign val="subscript"/>
        <sz val="9"/>
        <rFont val="Arial"/>
        <family val="2"/>
      </rPr>
      <t>2</t>
    </r>
  </si>
  <si>
    <r>
      <t>k</t>
    </r>
    <r>
      <rPr>
        <vertAlign val="subscript"/>
        <sz val="9"/>
        <rFont val="Arial"/>
        <family val="2"/>
      </rPr>
      <t>3</t>
    </r>
  </si>
  <si>
    <r>
      <t>K</t>
    </r>
    <r>
      <rPr>
        <vertAlign val="subscript"/>
        <sz val="9"/>
        <rFont val="Arial"/>
        <family val="2"/>
      </rPr>
      <t>4</t>
    </r>
  </si>
  <si>
    <t>Q2</t>
  </si>
  <si>
    <r>
      <t>Q</t>
    </r>
    <r>
      <rPr>
        <b/>
        <vertAlign val="subscript"/>
        <sz val="9"/>
        <rFont val="Arial"/>
        <family val="2"/>
      </rPr>
      <t>10</t>
    </r>
  </si>
  <si>
    <r>
      <t>Q</t>
    </r>
    <r>
      <rPr>
        <b/>
        <vertAlign val="subscript"/>
        <sz val="9"/>
        <rFont val="Arial"/>
        <family val="2"/>
      </rPr>
      <t>100</t>
    </r>
  </si>
  <si>
    <t>Hydrotechnické výpočty</t>
  </si>
  <si>
    <t>Posouzení  příkopů a propustků Zbyhněvice</t>
  </si>
  <si>
    <t>Návrhový průtok je získán pomocí CN křivek.</t>
  </si>
  <si>
    <t>Výpočet je proveden za požití výpočetní sestavy pro tabulkový procesor Excel.</t>
  </si>
  <si>
    <t>Polní cesta HC1 - příkop</t>
  </si>
  <si>
    <t>Polní cesta HC2 - příkop</t>
  </si>
  <si>
    <r>
      <t>[m</t>
    </r>
    <r>
      <rPr>
        <b/>
        <vertAlign val="superscript"/>
        <sz val="11"/>
        <color theme="1"/>
        <rFont val="Calibri"/>
        <family val="2"/>
        <charset val="238"/>
        <scheme val="minor"/>
      </rPr>
      <t>0,5</t>
    </r>
    <r>
      <rPr>
        <b/>
        <sz val="11"/>
        <color theme="1"/>
        <rFont val="Calibri"/>
        <family val="2"/>
        <charset val="238"/>
        <scheme val="minor"/>
      </rPr>
      <t>/s]</t>
    </r>
  </si>
  <si>
    <t>t</t>
  </si>
  <si>
    <t>Minimální podélný sklon</t>
  </si>
  <si>
    <t>dle Manninga</t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</si>
  <si>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50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</si>
  <si>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100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</si>
  <si>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20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</si>
  <si>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10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</si>
  <si>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</si>
  <si>
    <t>Maximální podélný sklon</t>
  </si>
  <si>
    <t>Vzhledem k zanedbatelným průtokům z malého povodí se od posuzování příkopu upustilo.</t>
  </si>
  <si>
    <t>Závěr:</t>
  </si>
  <si>
    <t>napětí. Pro snížení podélného sklonu budou ve dně osazeny betonové žlabovky.</t>
  </si>
  <si>
    <t>U podélného sklonu většího než 4% bude příkop opevněn štěrkovým pohozem,</t>
  </si>
  <si>
    <t xml:space="preserve"> u sklonu nad 6% budou svahy opevněny do výšky 0.3 m polovegetačními tvárnicemi.</t>
  </si>
  <si>
    <t>Polní cesta HC2 - propustek P6 DN 400</t>
  </si>
  <si>
    <t>Kruhový průtočný profil</t>
  </si>
  <si>
    <t>Polní cesta VC3 - příkop</t>
  </si>
  <si>
    <r>
      <t xml:space="preserve"> Cestní příkop převede jak při největším , tak při nejmenším sklonu Q</t>
    </r>
    <r>
      <rPr>
        <vertAlign val="subscript"/>
        <sz val="11"/>
        <color theme="1"/>
        <rFont val="Calibri"/>
        <family val="2"/>
        <charset val="238"/>
        <scheme val="minor"/>
      </rPr>
      <t>100</t>
    </r>
    <r>
      <rPr>
        <sz val="11"/>
        <color theme="1"/>
        <rFont val="Calibri"/>
        <family val="2"/>
        <charset val="238"/>
        <scheme val="minor"/>
      </rPr>
      <t xml:space="preserve"> bez nutnosti opevnění.</t>
    </r>
  </si>
  <si>
    <t>Polní cesta VC3 - propustek P9 DN 600</t>
  </si>
  <si>
    <r>
      <t>Q</t>
    </r>
    <r>
      <rPr>
        <b/>
        <vertAlign val="subscript"/>
        <sz val="9"/>
        <rFont val="Arial"/>
        <family val="2"/>
        <charset val="238"/>
      </rPr>
      <t>20</t>
    </r>
  </si>
  <si>
    <r>
      <t>Q</t>
    </r>
    <r>
      <rPr>
        <b/>
        <vertAlign val="subscript"/>
        <sz val="9"/>
        <rFont val="Arial"/>
        <family val="2"/>
        <charset val="238"/>
      </rPr>
      <t>100</t>
    </r>
  </si>
  <si>
    <r>
      <rPr>
        <b/>
        <sz val="11"/>
        <color theme="1"/>
        <rFont val="Calibri"/>
        <family val="2"/>
        <charset val="238"/>
        <scheme val="minor"/>
      </rP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50</t>
    </r>
  </si>
  <si>
    <r>
      <t>Propustek P9 převede Q</t>
    </r>
    <r>
      <rPr>
        <vertAlign val="subscript"/>
        <sz val="11"/>
        <color theme="1"/>
        <rFont val="Calibri"/>
        <family val="2"/>
        <charset val="238"/>
        <scheme val="minor"/>
      </rPr>
      <t>20</t>
    </r>
    <r>
      <rPr>
        <sz val="11"/>
        <color theme="1"/>
        <rFont val="Calibri"/>
        <family val="2"/>
        <charset val="238"/>
        <scheme val="minor"/>
      </rPr>
      <t xml:space="preserve"> bez vzdutí, průtok Q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se vzdutím 0.63 m a Q</t>
    </r>
    <r>
      <rPr>
        <vertAlign val="subscript"/>
        <sz val="11"/>
        <color theme="1"/>
        <rFont val="Calibri"/>
        <family val="2"/>
        <charset val="238"/>
        <scheme val="minor"/>
      </rPr>
      <t>100</t>
    </r>
    <r>
      <rPr>
        <sz val="11"/>
        <color theme="1"/>
        <rFont val="Calibri"/>
        <family val="2"/>
        <charset val="238"/>
        <scheme val="minor"/>
      </rPr>
      <t xml:space="preserve"> se vzdutím 0.93 m</t>
    </r>
  </si>
  <si>
    <t>Polní cesta VC10 - propustek P8 DN 400</t>
  </si>
  <si>
    <t>Polní cesta VC5 - propustek P7 DN 600</t>
  </si>
  <si>
    <r>
      <t>Q</t>
    </r>
    <r>
      <rPr>
        <b/>
        <vertAlign val="subscript"/>
        <sz val="9"/>
        <rFont val="Arial"/>
        <family val="2"/>
        <charset val="238"/>
      </rPr>
      <t>2</t>
    </r>
  </si>
  <si>
    <r>
      <t>Q</t>
    </r>
    <r>
      <rPr>
        <b/>
        <vertAlign val="subscript"/>
        <sz val="9"/>
        <rFont val="Arial"/>
        <family val="2"/>
        <charset val="238"/>
      </rPr>
      <t>10</t>
    </r>
  </si>
  <si>
    <r>
      <rPr>
        <b/>
        <sz val="11"/>
        <color theme="1"/>
        <rFont val="Calibri"/>
        <family val="2"/>
        <charset val="238"/>
        <scheme val="minor"/>
      </rPr>
      <t>Závěr:</t>
    </r>
    <r>
      <rPr>
        <sz val="11"/>
        <color theme="1"/>
        <rFont val="Calibri"/>
        <family val="2"/>
        <charset val="238"/>
        <scheme val="minor"/>
      </rPr>
      <t xml:space="preserve"> Propustek P6 převede Q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bez vzdutí, Q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10 </t>
    </r>
    <r>
      <rPr>
        <sz val="11"/>
        <color theme="1"/>
        <rFont val="Calibri"/>
        <family val="2"/>
        <charset val="238"/>
        <scheme val="minor"/>
      </rPr>
      <t>provede se vzdutím 0.43 m v režimu o volné hladině. Od vyšších průtoků nastává v propustku tlakové proudění.</t>
    </r>
  </si>
  <si>
    <r>
      <t>Q</t>
    </r>
    <r>
      <rPr>
        <b/>
        <vertAlign val="subscript"/>
        <sz val="9"/>
        <rFont val="Arial"/>
        <family val="2"/>
        <charset val="238"/>
      </rPr>
      <t>50</t>
    </r>
  </si>
  <si>
    <t xml:space="preserve">I při malých průtocích dochází,  vlivem velkého podélného sklonu dna příkopu, k velkému tečnému </t>
  </si>
  <si>
    <r>
      <t>Do průtoku Q</t>
    </r>
    <r>
      <rPr>
        <vertAlign val="subscript"/>
        <sz val="11"/>
        <color theme="1"/>
        <rFont val="Calibri"/>
        <family val="2"/>
        <charset val="238"/>
        <scheme val="minor"/>
      </rPr>
      <t>10</t>
    </r>
    <r>
      <rPr>
        <sz val="11"/>
        <color theme="1"/>
        <rFont val="Calibri"/>
        <family val="2"/>
        <charset val="238"/>
        <scheme val="minor"/>
      </rPr>
      <t xml:space="preserve"> funguje propustek v režimu o volné hladině.Při průtoku Q</t>
    </r>
    <r>
      <rPr>
        <vertAlign val="subscript"/>
        <sz val="11"/>
        <color theme="1"/>
        <rFont val="Calibri"/>
        <family val="2"/>
        <charset val="238"/>
        <scheme val="minor"/>
      </rPr>
      <t>10</t>
    </r>
    <r>
      <rPr>
        <sz val="11"/>
        <color theme="1"/>
        <rFont val="Calibri"/>
        <family val="2"/>
        <charset val="238"/>
        <scheme val="minor"/>
      </rPr>
      <t xml:space="preserve"> dochází k výraznému  vzdutí. Při vyšších průtocích nastává tlakový režim.</t>
    </r>
  </si>
  <si>
    <t xml:space="preserve">Průleh nad silnicí III/3403 </t>
  </si>
  <si>
    <t>N-leté průtoky odvozeny z hydrodat pro profil k SRN1, plocha povodí cca 4,0 ha.</t>
  </si>
  <si>
    <r>
      <t>Průleh převede jak při největším , tak při nejmenším sklonu i Q</t>
    </r>
    <r>
      <rPr>
        <vertAlign val="subscript"/>
        <sz val="11"/>
        <color theme="1"/>
        <rFont val="Calibri"/>
        <family val="2"/>
        <charset val="238"/>
        <scheme val="minor"/>
      </rPr>
      <t>100</t>
    </r>
    <r>
      <rPr>
        <sz val="11"/>
        <color theme="1"/>
        <rFont val="Calibri"/>
        <family val="2"/>
        <charset val="238"/>
        <scheme val="minor"/>
      </rPr>
      <t xml:space="preserve"> bez nutnosti opevnění.</t>
    </r>
  </si>
  <si>
    <t>Posouzení  půlehu při KoPÚ Zbyhněvice</t>
  </si>
  <si>
    <t>plocha povodí cca 4,0 ha.</t>
  </si>
  <si>
    <t>N-leté průtoky odvozeny z hydrodat pro profil k SRN1.</t>
  </si>
  <si>
    <t>Rekonstrukcí propustku P7 nedojde ke zhoršení odtokových poměrů na vodním toku Stolanský potok ID CEVT 10 185 477. Stávající propustek je ve špatném technickém stavu o rozměru DN 600. Propustek převede průtok Q20 se vzdutím před propustekm 1.09 m. Při tomto průtoku nedojde k vybřežení vody z koryta toku.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</si>
</sst>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#,##0.000"/>
  </numFmts>
  <fonts count="3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name val="Arial"/>
      <family val="2"/>
    </font>
    <font>
      <b/>
      <sz val="9"/>
      <name val="Arial"/>
      <family val="2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color indexed="12"/>
      <name val="Arial"/>
      <family val="2"/>
    </font>
    <font>
      <vertAlign val="subscript"/>
      <sz val="9"/>
      <name val="Arial"/>
      <family val="2"/>
    </font>
    <font>
      <vertAlign val="superscript"/>
      <sz val="9"/>
      <name val="Arial"/>
      <family val="2"/>
    </font>
    <font>
      <vertAlign val="subscript"/>
      <sz val="9"/>
      <name val="Arial CE"/>
      <family val="2"/>
      <charset val="238"/>
    </font>
    <font>
      <sz val="9"/>
      <name val="Arial"/>
      <family val="2"/>
      <charset val="238"/>
    </font>
    <font>
      <b/>
      <vertAlign val="subscript"/>
      <sz val="9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trike/>
      <sz val="9"/>
      <name val="Arial"/>
      <family val="2"/>
    </font>
    <font>
      <b/>
      <sz val="9"/>
      <name val="Arial"/>
      <family val="2"/>
      <charset val="238"/>
    </font>
    <font>
      <strike/>
      <sz val="9"/>
      <name val="Arial"/>
      <family val="2"/>
      <charset val="238"/>
    </font>
    <font>
      <b/>
      <vertAlign val="subscript"/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trike/>
      <sz val="10"/>
      <name val="Arial"/>
      <family val="2"/>
    </font>
    <font>
      <sz val="10"/>
      <name val="Arial"/>
      <family val="2"/>
      <charset val="238"/>
    </font>
    <font>
      <b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1">
    <xf numFmtId="0" fontId="0" fillId="0" borderId="0" xfId="0"/>
    <xf numFmtId="0" fontId="1" fillId="0" borderId="0" xfId="0" applyFont="1"/>
    <xf numFmtId="0" fontId="0" fillId="0" borderId="1" xfId="0" applyBorder="1"/>
    <xf numFmtId="2" fontId="0" fillId="0" borderId="1" xfId="0" applyNumberFormat="1" applyBorder="1"/>
    <xf numFmtId="0" fontId="1" fillId="0" borderId="3" xfId="0" applyFont="1" applyBorder="1"/>
    <xf numFmtId="0" fontId="0" fillId="0" borderId="5" xfId="0" applyBorder="1"/>
    <xf numFmtId="0" fontId="0" fillId="0" borderId="6" xfId="0" applyBorder="1"/>
    <xf numFmtId="2" fontId="0" fillId="0" borderId="8" xfId="0" applyNumberFormat="1" applyBorder="1"/>
    <xf numFmtId="0" fontId="0" fillId="0" borderId="8" xfId="0" applyBorder="1"/>
    <xf numFmtId="0" fontId="0" fillId="0" borderId="9" xfId="0" applyBorder="1"/>
    <xf numFmtId="0" fontId="1" fillId="0" borderId="7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2" xfId="0" applyFont="1" applyBorder="1"/>
    <xf numFmtId="0" fontId="1" fillId="0" borderId="4" xfId="0" applyFont="1" applyBorder="1"/>
    <xf numFmtId="0" fontId="1" fillId="0" borderId="0" xfId="0" applyFont="1" applyBorder="1"/>
    <xf numFmtId="0" fontId="0" fillId="0" borderId="0" xfId="0" applyBorder="1"/>
    <xf numFmtId="2" fontId="0" fillId="0" borderId="6" xfId="0" applyNumberFormat="1" applyBorder="1"/>
    <xf numFmtId="2" fontId="0" fillId="0" borderId="9" xfId="0" applyNumberFormat="1" applyBorder="1"/>
    <xf numFmtId="0" fontId="4" fillId="0" borderId="0" xfId="0" applyFont="1"/>
    <xf numFmtId="0" fontId="1" fillId="0" borderId="4" xfId="0" applyFont="1" applyFill="1" applyBorder="1"/>
    <xf numFmtId="0" fontId="6" fillId="0" borderId="0" xfId="0" applyFont="1" applyBorder="1"/>
    <xf numFmtId="0" fontId="5" fillId="0" borderId="17" xfId="0" applyFont="1" applyBorder="1"/>
    <xf numFmtId="2" fontId="9" fillId="0" borderId="0" xfId="0" applyNumberFormat="1" applyFont="1" applyFill="1" applyBorder="1" applyAlignment="1"/>
    <xf numFmtId="166" fontId="5" fillId="0" borderId="17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12" xfId="0" applyFont="1" applyBorder="1"/>
    <xf numFmtId="0" fontId="6" fillId="0" borderId="12" xfId="0" applyFont="1" applyBorder="1" applyAlignment="1">
      <alignment horizontal="center"/>
    </xf>
    <xf numFmtId="0" fontId="5" fillId="0" borderId="19" xfId="0" applyFont="1" applyFill="1" applyBorder="1"/>
    <xf numFmtId="0" fontId="5" fillId="0" borderId="19" xfId="0" applyFont="1" applyFill="1" applyBorder="1" applyAlignment="1">
      <alignment horizontal="center"/>
    </xf>
    <xf numFmtId="4" fontId="5" fillId="0" borderId="14" xfId="0" applyNumberFormat="1" applyFont="1" applyFill="1" applyBorder="1" applyAlignment="1">
      <alignment horizontal="center" vertical="top" wrapText="1"/>
    </xf>
    <xf numFmtId="0" fontId="5" fillId="0" borderId="16" xfId="0" applyFont="1" applyBorder="1"/>
    <xf numFmtId="0" fontId="5" fillId="0" borderId="16" xfId="0" applyFont="1" applyBorder="1" applyAlignment="1">
      <alignment horizontal="center"/>
    </xf>
    <xf numFmtId="165" fontId="5" fillId="0" borderId="18" xfId="0" applyNumberFormat="1" applyFont="1" applyFill="1" applyBorder="1"/>
    <xf numFmtId="0" fontId="5" fillId="0" borderId="1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4" fontId="5" fillId="0" borderId="11" xfId="0" applyNumberFormat="1" applyFont="1" applyBorder="1" applyAlignment="1">
      <alignment horizontal="center" vertical="top" wrapText="1"/>
    </xf>
    <xf numFmtId="4" fontId="5" fillId="0" borderId="16" xfId="0" applyNumberFormat="1" applyFont="1" applyBorder="1" applyAlignment="1">
      <alignment horizontal="center" vertical="top" wrapText="1"/>
    </xf>
    <xf numFmtId="165" fontId="5" fillId="3" borderId="16" xfId="0" applyNumberFormat="1" applyFont="1" applyFill="1" applyBorder="1"/>
    <xf numFmtId="0" fontId="5" fillId="0" borderId="0" xfId="0" applyFont="1" applyFill="1" applyBorder="1"/>
    <xf numFmtId="164" fontId="5" fillId="3" borderId="16" xfId="0" applyNumberFormat="1" applyFont="1" applyFill="1" applyBorder="1"/>
    <xf numFmtId="0" fontId="5" fillId="0" borderId="11" xfId="0" applyFont="1" applyBorder="1"/>
    <xf numFmtId="164" fontId="5" fillId="3" borderId="10" xfId="0" applyNumberFormat="1" applyFont="1" applyFill="1" applyBorder="1"/>
    <xf numFmtId="4" fontId="5" fillId="3" borderId="12" xfId="0" applyNumberFormat="1" applyFont="1" applyFill="1" applyBorder="1" applyAlignment="1">
      <alignment horizontal="center"/>
    </xf>
    <xf numFmtId="4" fontId="5" fillId="3" borderId="12" xfId="0" applyNumberFormat="1" applyFont="1" applyFill="1" applyBorder="1" applyAlignment="1">
      <alignment horizontal="center" vertical="top" wrapText="1"/>
    </xf>
    <xf numFmtId="2" fontId="5" fillId="3" borderId="12" xfId="0" applyNumberFormat="1" applyFont="1" applyFill="1" applyBorder="1"/>
    <xf numFmtId="164" fontId="5" fillId="3" borderId="18" xfId="0" applyNumberFormat="1" applyFont="1" applyFill="1" applyBorder="1"/>
    <xf numFmtId="2" fontId="5" fillId="3" borderId="18" xfId="0" applyNumberFormat="1" applyFont="1" applyFill="1" applyBorder="1"/>
    <xf numFmtId="165" fontId="5" fillId="3" borderId="18" xfId="0" applyNumberFormat="1" applyFont="1" applyFill="1" applyBorder="1"/>
    <xf numFmtId="2" fontId="5" fillId="3" borderId="10" xfId="0" applyNumberFormat="1" applyFont="1" applyFill="1" applyBorder="1"/>
    <xf numFmtId="4" fontId="5" fillId="0" borderId="0" xfId="0" applyNumberFormat="1" applyFont="1" applyFill="1" applyBorder="1" applyAlignment="1">
      <alignment horizontal="left"/>
    </xf>
    <xf numFmtId="2" fontId="5" fillId="3" borderId="1" xfId="0" applyNumberFormat="1" applyFont="1" applyFill="1" applyBorder="1"/>
    <xf numFmtId="2" fontId="5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2" fontId="5" fillId="0" borderId="0" xfId="0" applyNumberFormat="1" applyFont="1" applyFill="1" applyBorder="1"/>
    <xf numFmtId="165" fontId="5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top" wrapText="1"/>
    </xf>
    <xf numFmtId="164" fontId="5" fillId="0" borderId="10" xfId="0" applyNumberFormat="1" applyFont="1" applyFill="1" applyBorder="1"/>
    <xf numFmtId="0" fontId="5" fillId="0" borderId="19" xfId="0" applyFont="1" applyBorder="1"/>
    <xf numFmtId="2" fontId="5" fillId="0" borderId="16" xfId="0" applyNumberFormat="1" applyFont="1" applyFill="1" applyBorder="1"/>
    <xf numFmtId="2" fontId="5" fillId="0" borderId="14" xfId="0" applyNumberFormat="1" applyFont="1" applyFill="1" applyBorder="1"/>
    <xf numFmtId="2" fontId="5" fillId="0" borderId="11" xfId="0" applyNumberFormat="1" applyFont="1" applyFill="1" applyBorder="1"/>
    <xf numFmtId="2" fontId="5" fillId="0" borderId="10" xfId="0" applyNumberFormat="1" applyFont="1" applyFill="1" applyBorder="1"/>
    <xf numFmtId="0" fontId="5" fillId="0" borderId="16" xfId="0" applyFont="1" applyFill="1" applyBorder="1"/>
    <xf numFmtId="0" fontId="5" fillId="0" borderId="10" xfId="0" applyFont="1" applyBorder="1"/>
    <xf numFmtId="4" fontId="6" fillId="3" borderId="12" xfId="0" applyNumberFormat="1" applyFont="1" applyFill="1" applyBorder="1" applyAlignment="1">
      <alignment horizontal="left"/>
    </xf>
    <xf numFmtId="166" fontId="7" fillId="0" borderId="16" xfId="0" applyNumberFormat="1" applyFont="1" applyBorder="1" applyAlignment="1">
      <alignment horizontal="left"/>
    </xf>
    <xf numFmtId="166" fontId="7" fillId="0" borderId="16" xfId="0" applyNumberFormat="1" applyFont="1" applyBorder="1" applyAlignment="1">
      <alignment horizontal="center"/>
    </xf>
    <xf numFmtId="166" fontId="7" fillId="3" borderId="18" xfId="0" applyNumberFormat="1" applyFont="1" applyFill="1" applyBorder="1" applyAlignment="1">
      <alignment horizontal="right"/>
    </xf>
    <xf numFmtId="4" fontId="7" fillId="0" borderId="16" xfId="0" applyNumberFormat="1" applyFont="1" applyBorder="1" applyAlignment="1">
      <alignment horizontal="center"/>
    </xf>
    <xf numFmtId="4" fontId="7" fillId="0" borderId="11" xfId="0" applyNumberFormat="1" applyFont="1" applyBorder="1" applyAlignment="1">
      <alignment horizontal="left"/>
    </xf>
    <xf numFmtId="4" fontId="7" fillId="0" borderId="11" xfId="0" applyNumberFormat="1" applyFont="1" applyBorder="1" applyAlignment="1">
      <alignment horizontal="center"/>
    </xf>
    <xf numFmtId="4" fontId="8" fillId="3" borderId="10" xfId="0" applyNumberFormat="1" applyFont="1" applyFill="1" applyBorder="1" applyAlignment="1">
      <alignment horizontal="right"/>
    </xf>
    <xf numFmtId="0" fontId="5" fillId="0" borderId="20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5" fillId="2" borderId="11" xfId="0" applyFont="1" applyFill="1" applyBorder="1"/>
    <xf numFmtId="0" fontId="5" fillId="2" borderId="11" xfId="0" applyFont="1" applyFill="1" applyBorder="1" applyAlignment="1">
      <alignment horizontal="center"/>
    </xf>
    <xf numFmtId="2" fontId="5" fillId="2" borderId="10" xfId="0" applyNumberFormat="1" applyFont="1" applyFill="1" applyBorder="1"/>
    <xf numFmtId="0" fontId="0" fillId="0" borderId="8" xfId="0" applyFill="1" applyBorder="1"/>
    <xf numFmtId="0" fontId="0" fillId="0" borderId="9" xfId="0" applyFill="1" applyBorder="1"/>
    <xf numFmtId="0" fontId="5" fillId="0" borderId="0" xfId="0" applyFont="1" applyBorder="1"/>
    <xf numFmtId="165" fontId="5" fillId="0" borderId="10" xfId="0" applyNumberFormat="1" applyFont="1" applyFill="1" applyBorder="1"/>
    <xf numFmtId="49" fontId="5" fillId="3" borderId="1" xfId="0" applyNumberFormat="1" applyFont="1" applyFill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right"/>
    </xf>
    <xf numFmtId="0" fontId="6" fillId="0" borderId="12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left"/>
    </xf>
    <xf numFmtId="2" fontId="5" fillId="0" borderId="14" xfId="0" applyNumberFormat="1" applyFont="1" applyFill="1" applyBorder="1" applyAlignment="1">
      <alignment horizontal="right"/>
    </xf>
    <xf numFmtId="0" fontId="6" fillId="0" borderId="1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2" fontId="5" fillId="0" borderId="18" xfId="0" applyNumberFormat="1" applyFont="1" applyFill="1" applyBorder="1"/>
    <xf numFmtId="0" fontId="6" fillId="2" borderId="1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5" fontId="5" fillId="0" borderId="16" xfId="0" applyNumberFormat="1" applyFont="1" applyBorder="1" applyAlignment="1">
      <alignment horizontal="center"/>
    </xf>
    <xf numFmtId="165" fontId="5" fillId="0" borderId="18" xfId="0" applyNumberFormat="1" applyFont="1" applyBorder="1" applyAlignment="1">
      <alignment horizontal="center"/>
    </xf>
    <xf numFmtId="0" fontId="5" fillId="0" borderId="26" xfId="0" applyFont="1" applyBorder="1"/>
    <xf numFmtId="165" fontId="5" fillId="0" borderId="11" xfId="0" applyNumberFormat="1" applyFont="1" applyBorder="1" applyAlignment="1">
      <alignment horizontal="center"/>
    </xf>
    <xf numFmtId="165" fontId="5" fillId="5" borderId="10" xfId="0" applyNumberFormat="1" applyFont="1" applyFill="1" applyBorder="1" applyAlignment="1">
      <alignment horizontal="center"/>
    </xf>
    <xf numFmtId="0" fontId="5" fillId="0" borderId="27" xfId="0" applyFont="1" applyBorder="1"/>
    <xf numFmtId="4" fontId="6" fillId="3" borderId="20" xfId="0" applyNumberFormat="1" applyFont="1" applyFill="1" applyBorder="1" applyAlignment="1">
      <alignment horizontal="left"/>
    </xf>
    <xf numFmtId="0" fontId="5" fillId="2" borderId="0" xfId="0" applyFont="1" applyFill="1" applyBorder="1"/>
    <xf numFmtId="0" fontId="5" fillId="2" borderId="16" xfId="0" applyFont="1" applyFill="1" applyBorder="1" applyAlignment="1">
      <alignment horizontal="center"/>
    </xf>
    <xf numFmtId="4" fontId="5" fillId="2" borderId="16" xfId="0" applyNumberFormat="1" applyFont="1" applyFill="1" applyBorder="1" applyAlignment="1">
      <alignment horizontal="center" vertical="top" wrapText="1"/>
    </xf>
    <xf numFmtId="165" fontId="5" fillId="2" borderId="16" xfId="0" applyNumberFormat="1" applyFont="1" applyFill="1" applyBorder="1"/>
    <xf numFmtId="0" fontId="5" fillId="0" borderId="0" xfId="0" applyFont="1" applyFill="1" applyBorder="1" applyAlignment="1">
      <alignment horizontal="left"/>
    </xf>
    <xf numFmtId="0" fontId="5" fillId="0" borderId="16" xfId="0" applyFont="1" applyFill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0" borderId="16" xfId="0" applyFont="1" applyFill="1" applyBorder="1" applyAlignment="1">
      <alignment horizontal="center"/>
    </xf>
    <xf numFmtId="2" fontId="5" fillId="3" borderId="16" xfId="0" applyNumberFormat="1" applyFont="1" applyFill="1" applyBorder="1"/>
    <xf numFmtId="165" fontId="5" fillId="0" borderId="10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165" fontId="5" fillId="5" borderId="18" xfId="0" applyNumberFormat="1" applyFont="1" applyFill="1" applyBorder="1"/>
    <xf numFmtId="165" fontId="6" fillId="2" borderId="12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/>
    </xf>
    <xf numFmtId="4" fontId="5" fillId="0" borderId="16" xfId="0" applyNumberFormat="1" applyFont="1" applyFill="1" applyBorder="1" applyAlignment="1">
      <alignment horizontal="center"/>
    </xf>
    <xf numFmtId="4" fontId="5" fillId="0" borderId="18" xfId="0" applyNumberFormat="1" applyFont="1" applyBorder="1" applyAlignment="1">
      <alignment horizontal="center"/>
    </xf>
    <xf numFmtId="2" fontId="5" fillId="0" borderId="1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/>
    </xf>
    <xf numFmtId="4" fontId="5" fillId="3" borderId="20" xfId="0" applyNumberFormat="1" applyFont="1" applyFill="1" applyBorder="1" applyAlignment="1">
      <alignment horizontal="left"/>
    </xf>
    <xf numFmtId="165" fontId="5" fillId="3" borderId="14" xfId="0" applyNumberFormat="1" applyFont="1" applyFill="1" applyBorder="1"/>
    <xf numFmtId="165" fontId="5" fillId="0" borderId="12" xfId="0" applyNumberFormat="1" applyFont="1" applyBorder="1" applyAlignment="1">
      <alignment horizontal="center"/>
    </xf>
    <xf numFmtId="165" fontId="5" fillId="5" borderId="1" xfId="0" applyNumberFormat="1" applyFont="1" applyFill="1" applyBorder="1" applyAlignment="1">
      <alignment horizontal="center"/>
    </xf>
    <xf numFmtId="4" fontId="5" fillId="0" borderId="16" xfId="0" applyNumberFormat="1" applyFont="1" applyFill="1" applyBorder="1" applyAlignment="1">
      <alignment horizontal="center" vertical="top" wrapText="1"/>
    </xf>
    <xf numFmtId="4" fontId="5" fillId="0" borderId="11" xfId="0" applyNumberFormat="1" applyFont="1" applyFill="1" applyBorder="1" applyAlignment="1">
      <alignment horizontal="center"/>
    </xf>
    <xf numFmtId="4" fontId="5" fillId="0" borderId="10" xfId="0" applyNumberFormat="1" applyFont="1" applyFill="1" applyBorder="1" applyAlignment="1">
      <alignment horizontal="center"/>
    </xf>
    <xf numFmtId="4" fontId="5" fillId="0" borderId="18" xfId="0" applyNumberFormat="1" applyFont="1" applyFill="1" applyBorder="1" applyAlignment="1">
      <alignment horizontal="center"/>
    </xf>
    <xf numFmtId="4" fontId="5" fillId="3" borderId="18" xfId="0" applyNumberFormat="1" applyFont="1" applyFill="1" applyBorder="1" applyAlignment="1">
      <alignment horizontal="right" vertical="top" wrapText="1"/>
    </xf>
    <xf numFmtId="4" fontId="5" fillId="0" borderId="11" xfId="0" applyNumberFormat="1" applyFont="1" applyFill="1" applyBorder="1" applyAlignment="1">
      <alignment horizontal="left"/>
    </xf>
    <xf numFmtId="2" fontId="5" fillId="3" borderId="11" xfId="0" applyNumberFormat="1" applyFont="1" applyFill="1" applyBorder="1"/>
    <xf numFmtId="2" fontId="5" fillId="0" borderId="11" xfId="0" applyNumberFormat="1" applyFont="1" applyFill="1" applyBorder="1" applyAlignment="1">
      <alignment horizontal="center"/>
    </xf>
    <xf numFmtId="164" fontId="5" fillId="0" borderId="10" xfId="0" applyNumberFormat="1" applyFont="1" applyFill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6" fillId="0" borderId="19" xfId="0" applyFont="1" applyBorder="1"/>
    <xf numFmtId="4" fontId="5" fillId="0" borderId="19" xfId="0" applyNumberFormat="1" applyFont="1" applyFill="1" applyBorder="1" applyAlignment="1">
      <alignment horizontal="center" vertical="top" wrapText="1"/>
    </xf>
    <xf numFmtId="4" fontId="5" fillId="2" borderId="23" xfId="0" applyNumberFormat="1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2" fontId="5" fillId="2" borderId="23" xfId="0" applyNumberFormat="1" applyFont="1" applyFill="1" applyBorder="1"/>
    <xf numFmtId="2" fontId="5" fillId="2" borderId="24" xfId="0" applyNumberFormat="1" applyFont="1" applyFill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2" fontId="0" fillId="0" borderId="3" xfId="0" applyNumberFormat="1" applyBorder="1"/>
    <xf numFmtId="0" fontId="1" fillId="0" borderId="29" xfId="0" applyFont="1" applyBorder="1"/>
    <xf numFmtId="0" fontId="1" fillId="0" borderId="19" xfId="0" applyFont="1" applyBorder="1"/>
    <xf numFmtId="2" fontId="0" fillId="0" borderId="12" xfId="0" applyNumberFormat="1" applyBorder="1"/>
    <xf numFmtId="2" fontId="0" fillId="0" borderId="30" xfId="0" applyNumberFormat="1" applyBorder="1"/>
    <xf numFmtId="2" fontId="0" fillId="0" borderId="5" xfId="0" applyNumberFormat="1" applyBorder="1"/>
    <xf numFmtId="2" fontId="0" fillId="0" borderId="7" xfId="0" applyNumberFormat="1" applyBorder="1"/>
    <xf numFmtId="2" fontId="5" fillId="3" borderId="25" xfId="0" applyNumberFormat="1" applyFont="1" applyFill="1" applyBorder="1"/>
    <xf numFmtId="2" fontId="0" fillId="4" borderId="12" xfId="0" applyNumberFormat="1" applyFill="1" applyBorder="1"/>
    <xf numFmtId="0" fontId="17" fillId="0" borderId="0" xfId="0" applyFont="1"/>
    <xf numFmtId="0" fontId="0" fillId="0" borderId="17" xfId="0" applyBorder="1"/>
    <xf numFmtId="0" fontId="18" fillId="0" borderId="0" xfId="0" applyFont="1" applyBorder="1"/>
    <xf numFmtId="0" fontId="19" fillId="0" borderId="0" xfId="0" applyFont="1" applyBorder="1"/>
    <xf numFmtId="0" fontId="1" fillId="0" borderId="0" xfId="0" applyFont="1" applyFill="1" applyBorder="1"/>
    <xf numFmtId="2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/>
    <xf numFmtId="2" fontId="0" fillId="0" borderId="1" xfId="0" applyNumberFormat="1" applyFill="1" applyBorder="1"/>
    <xf numFmtId="2" fontId="0" fillId="0" borderId="6" xfId="0" applyNumberFormat="1" applyFill="1" applyBorder="1"/>
    <xf numFmtId="2" fontId="0" fillId="0" borderId="4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2" fontId="0" fillId="0" borderId="5" xfId="0" applyNumberFormat="1" applyFill="1" applyBorder="1"/>
    <xf numFmtId="0" fontId="1" fillId="4" borderId="29" xfId="0" applyFont="1" applyFill="1" applyBorder="1"/>
    <xf numFmtId="0" fontId="1" fillId="4" borderId="19" xfId="0" applyFont="1" applyFill="1" applyBorder="1"/>
    <xf numFmtId="0" fontId="0" fillId="4" borderId="29" xfId="0" applyFill="1" applyBorder="1"/>
    <xf numFmtId="2" fontId="0" fillId="4" borderId="30" xfId="0" applyNumberFormat="1" applyFill="1" applyBorder="1"/>
    <xf numFmtId="0" fontId="16" fillId="0" borderId="2" xfId="0" applyFont="1" applyBorder="1"/>
    <xf numFmtId="0" fontId="16" fillId="0" borderId="5" xfId="0" applyFont="1" applyBorder="1"/>
    <xf numFmtId="0" fontId="16" fillId="0" borderId="5" xfId="0" applyFont="1" applyFill="1" applyBorder="1"/>
    <xf numFmtId="0" fontId="16" fillId="0" borderId="7" xfId="0" applyFont="1" applyBorder="1"/>
    <xf numFmtId="0" fontId="16" fillId="0" borderId="13" xfId="0" applyFont="1" applyBorder="1"/>
    <xf numFmtId="0" fontId="16" fillId="0" borderId="14" xfId="0" applyFont="1" applyBorder="1"/>
    <xf numFmtId="0" fontId="16" fillId="0" borderId="15" xfId="0" applyFont="1" applyBorder="1"/>
    <xf numFmtId="0" fontId="21" fillId="0" borderId="5" xfId="0" applyFont="1" applyFill="1" applyBorder="1"/>
    <xf numFmtId="0" fontId="21" fillId="0" borderId="5" xfId="0" applyFont="1" applyBorder="1"/>
    <xf numFmtId="0" fontId="22" fillId="0" borderId="0" xfId="0" applyFont="1"/>
    <xf numFmtId="0" fontId="6" fillId="0" borderId="20" xfId="0" applyFont="1" applyBorder="1"/>
    <xf numFmtId="0" fontId="5" fillId="0" borderId="16" xfId="0" applyFont="1" applyFill="1" applyBorder="1" applyAlignment="1">
      <alignment horizontal="left"/>
    </xf>
    <xf numFmtId="4" fontId="5" fillId="0" borderId="17" xfId="0" applyNumberFormat="1" applyFont="1" applyFill="1" applyBorder="1" applyAlignment="1">
      <alignment horizontal="left"/>
    </xf>
    <xf numFmtId="2" fontId="6" fillId="3" borderId="10" xfId="0" applyNumberFormat="1" applyFont="1" applyFill="1" applyBorder="1"/>
    <xf numFmtId="0" fontId="5" fillId="0" borderId="12" xfId="0" applyFont="1" applyFill="1" applyBorder="1" applyAlignment="1">
      <alignment horizontal="center"/>
    </xf>
    <xf numFmtId="4" fontId="5" fillId="0" borderId="12" xfId="0" applyNumberFormat="1" applyFont="1" applyFill="1" applyBorder="1" applyAlignment="1">
      <alignment horizontal="center" vertical="top" wrapText="1"/>
    </xf>
    <xf numFmtId="165" fontId="5" fillId="3" borderId="1" xfId="0" applyNumberFormat="1" applyFont="1" applyFill="1" applyBorder="1"/>
    <xf numFmtId="0" fontId="5" fillId="2" borderId="16" xfId="0" applyFont="1" applyFill="1" applyBorder="1"/>
    <xf numFmtId="4" fontId="5" fillId="2" borderId="18" xfId="0" applyNumberFormat="1" applyFont="1" applyFill="1" applyBorder="1" applyAlignment="1">
      <alignment horizontal="center"/>
    </xf>
    <xf numFmtId="2" fontId="5" fillId="2" borderId="18" xfId="0" applyNumberFormat="1" applyFont="1" applyFill="1" applyBorder="1"/>
    <xf numFmtId="165" fontId="5" fillId="3" borderId="10" xfId="0" applyNumberFormat="1" applyFont="1" applyFill="1" applyBorder="1"/>
    <xf numFmtId="2" fontId="5" fillId="0" borderId="1" xfId="0" applyNumberFormat="1" applyFont="1" applyFill="1" applyBorder="1" applyAlignment="1">
      <alignment horizontal="right"/>
    </xf>
    <xf numFmtId="2" fontId="5" fillId="0" borderId="1" xfId="0" applyNumberFormat="1" applyFont="1" applyFill="1" applyBorder="1"/>
    <xf numFmtId="165" fontId="5" fillId="0" borderId="1" xfId="0" applyNumberFormat="1" applyFont="1" applyFill="1" applyBorder="1"/>
    <xf numFmtId="2" fontId="5" fillId="3" borderId="27" xfId="0" applyNumberFormat="1" applyFont="1" applyFill="1" applyBorder="1"/>
    <xf numFmtId="2" fontId="13" fillId="3" borderId="10" xfId="0" applyNumberFormat="1" applyFont="1" applyFill="1" applyBorder="1"/>
    <xf numFmtId="2" fontId="23" fillId="3" borderId="1" xfId="0" applyNumberFormat="1" applyFont="1" applyFill="1" applyBorder="1"/>
    <xf numFmtId="2" fontId="24" fillId="3" borderId="10" xfId="0" applyNumberFormat="1" applyFont="1" applyFill="1" applyBorder="1"/>
    <xf numFmtId="2" fontId="24" fillId="3" borderId="33" xfId="0" applyNumberFormat="1" applyFont="1" applyFill="1" applyBorder="1"/>
    <xf numFmtId="2" fontId="13" fillId="3" borderId="11" xfId="0" applyNumberFormat="1" applyFont="1" applyFill="1" applyBorder="1"/>
    <xf numFmtId="2" fontId="13" fillId="3" borderId="1" xfId="0" applyNumberFormat="1" applyFont="1" applyFill="1" applyBorder="1"/>
    <xf numFmtId="2" fontId="25" fillId="3" borderId="1" xfId="0" applyNumberFormat="1" applyFont="1" applyFill="1" applyBorder="1"/>
    <xf numFmtId="0" fontId="5" fillId="0" borderId="16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164" fontId="5" fillId="0" borderId="1" xfId="0" applyNumberFormat="1" applyFont="1" applyFill="1" applyBorder="1"/>
    <xf numFmtId="0" fontId="1" fillId="0" borderId="38" xfId="0" applyFont="1" applyFill="1" applyBorder="1"/>
    <xf numFmtId="0" fontId="1" fillId="0" borderId="37" xfId="0" applyFont="1" applyBorder="1"/>
    <xf numFmtId="2" fontId="0" fillId="0" borderId="21" xfId="0" applyNumberFormat="1" applyBorder="1"/>
    <xf numFmtId="2" fontId="0" fillId="0" borderId="21" xfId="0" applyNumberFormat="1" applyFill="1" applyBorder="1"/>
    <xf numFmtId="2" fontId="0" fillId="0" borderId="39" xfId="0" applyNumberFormat="1" applyBorder="1"/>
    <xf numFmtId="0" fontId="1" fillId="0" borderId="40" xfId="0" applyFont="1" applyFill="1" applyBorder="1"/>
    <xf numFmtId="0" fontId="1" fillId="0" borderId="41" xfId="0" applyFont="1" applyBorder="1"/>
    <xf numFmtId="0" fontId="0" fillId="0" borderId="40" xfId="0" applyBorder="1" applyAlignment="1">
      <alignment horizontal="center"/>
    </xf>
    <xf numFmtId="2" fontId="0" fillId="0" borderId="42" xfId="0" applyNumberFormat="1" applyBorder="1"/>
    <xf numFmtId="2" fontId="0" fillId="0" borderId="42" xfId="0" applyNumberFormat="1" applyFill="1" applyBorder="1"/>
    <xf numFmtId="2" fontId="0" fillId="0" borderId="43" xfId="0" applyNumberFormat="1" applyBorder="1"/>
    <xf numFmtId="2" fontId="24" fillId="3" borderId="31" xfId="0" applyNumberFormat="1" applyFont="1" applyFill="1" applyBorder="1"/>
    <xf numFmtId="0" fontId="0" fillId="0" borderId="38" xfId="0" applyBorder="1"/>
    <xf numFmtId="2" fontId="0" fillId="0" borderId="38" xfId="0" applyNumberFormat="1" applyBorder="1"/>
    <xf numFmtId="0" fontId="6" fillId="0" borderId="20" xfId="0" applyFont="1" applyFill="1" applyBorder="1" applyAlignment="1">
      <alignment horizontal="right"/>
    </xf>
    <xf numFmtId="0" fontId="6" fillId="0" borderId="20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5" fontId="5" fillId="0" borderId="17" xfId="0" applyNumberFormat="1" applyFont="1" applyBorder="1" applyAlignment="1">
      <alignment horizontal="center"/>
    </xf>
    <xf numFmtId="165" fontId="6" fillId="2" borderId="20" xfId="0" applyNumberFormat="1" applyFont="1" applyFill="1" applyBorder="1" applyAlignment="1">
      <alignment horizontal="center"/>
    </xf>
    <xf numFmtId="165" fontId="5" fillId="0" borderId="20" xfId="0" applyNumberFormat="1" applyFont="1" applyBorder="1" applyAlignment="1">
      <alignment horizontal="center"/>
    </xf>
    <xf numFmtId="2" fontId="5" fillId="0" borderId="17" xfId="0" applyNumberFormat="1" applyFont="1" applyFill="1" applyBorder="1" applyAlignment="1">
      <alignment horizontal="center"/>
    </xf>
    <xf numFmtId="164" fontId="5" fillId="0" borderId="0" xfId="0" applyNumberFormat="1" applyFont="1" applyFill="1" applyBorder="1"/>
    <xf numFmtId="2" fontId="24" fillId="0" borderId="0" xfId="0" applyNumberFormat="1" applyFont="1" applyFill="1" applyBorder="1"/>
    <xf numFmtId="2" fontId="13" fillId="0" borderId="0" xfId="0" applyNumberFormat="1" applyFont="1" applyFill="1" applyBorder="1"/>
    <xf numFmtId="2" fontId="23" fillId="0" borderId="0" xfId="0" applyNumberFormat="1" applyFont="1" applyFill="1" applyBorder="1"/>
    <xf numFmtId="2" fontId="25" fillId="0" borderId="0" xfId="0" applyNumberFormat="1" applyFont="1" applyFill="1" applyBorder="1"/>
    <xf numFmtId="166" fontId="5" fillId="0" borderId="0" xfId="0" applyNumberFormat="1" applyFont="1" applyFill="1" applyBorder="1" applyAlignment="1">
      <alignment horizontal="right"/>
    </xf>
    <xf numFmtId="0" fontId="1" fillId="4" borderId="44" xfId="0" applyFont="1" applyFill="1" applyBorder="1"/>
    <xf numFmtId="0" fontId="1" fillId="4" borderId="45" xfId="0" applyFont="1" applyFill="1" applyBorder="1"/>
    <xf numFmtId="2" fontId="0" fillId="4" borderId="46" xfId="0" applyNumberFormat="1" applyFill="1" applyBorder="1"/>
    <xf numFmtId="2" fontId="0" fillId="4" borderId="47" xfId="0" applyNumberFormat="1" applyFill="1" applyBorder="1"/>
    <xf numFmtId="2" fontId="0" fillId="0" borderId="29" xfId="0" applyNumberFormat="1" applyBorder="1"/>
    <xf numFmtId="2" fontId="16" fillId="0" borderId="2" xfId="0" applyNumberFormat="1" applyFont="1" applyBorder="1"/>
    <xf numFmtId="2" fontId="0" fillId="4" borderId="44" xfId="0" applyNumberFormat="1" applyFill="1" applyBorder="1"/>
    <xf numFmtId="2" fontId="0" fillId="0" borderId="2" xfId="0" applyNumberFormat="1" applyBorder="1" applyAlignment="1">
      <alignment horizontal="center"/>
    </xf>
    <xf numFmtId="2" fontId="16" fillId="0" borderId="5" xfId="0" applyNumberFormat="1" applyFont="1" applyBorder="1"/>
    <xf numFmtId="2" fontId="21" fillId="0" borderId="5" xfId="0" applyNumberFormat="1" applyFont="1" applyFill="1" applyBorder="1"/>
    <xf numFmtId="2" fontId="21" fillId="0" borderId="5" xfId="0" applyNumberFormat="1" applyFont="1" applyBorder="1"/>
    <xf numFmtId="2" fontId="16" fillId="0" borderId="7" xfId="0" applyNumberFormat="1" applyFont="1" applyBorder="1"/>
    <xf numFmtId="0" fontId="5" fillId="0" borderId="26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6" xfId="0" applyFont="1" applyFill="1" applyBorder="1"/>
    <xf numFmtId="0" fontId="5" fillId="0" borderId="25" xfId="0" applyFont="1" applyBorder="1"/>
    <xf numFmtId="0" fontId="5" fillId="2" borderId="12" xfId="0" applyFont="1" applyFill="1" applyBorder="1"/>
    <xf numFmtId="0" fontId="5" fillId="2" borderId="21" xfId="0" applyFont="1" applyFill="1" applyBorder="1"/>
    <xf numFmtId="2" fontId="23" fillId="3" borderId="10" xfId="0" applyNumberFormat="1" applyFont="1" applyFill="1" applyBorder="1"/>
    <xf numFmtId="4" fontId="5" fillId="2" borderId="21" xfId="0" applyNumberFormat="1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0" borderId="25" xfId="0" applyFont="1" applyFill="1" applyBorder="1"/>
    <xf numFmtId="0" fontId="6" fillId="0" borderId="21" xfId="0" applyFont="1" applyBorder="1"/>
    <xf numFmtId="165" fontId="5" fillId="2" borderId="18" xfId="0" applyNumberFormat="1" applyFont="1" applyFill="1" applyBorder="1"/>
    <xf numFmtId="4" fontId="5" fillId="0" borderId="16" xfId="0" applyNumberFormat="1" applyFont="1" applyFill="1" applyBorder="1" applyAlignment="1">
      <alignment horizontal="left"/>
    </xf>
    <xf numFmtId="4" fontId="5" fillId="3" borderId="12" xfId="0" applyNumberFormat="1" applyFont="1" applyFill="1" applyBorder="1" applyAlignment="1">
      <alignment horizontal="left"/>
    </xf>
    <xf numFmtId="0" fontId="3" fillId="0" borderId="12" xfId="0" applyFont="1" applyBorder="1"/>
    <xf numFmtId="2" fontId="15" fillId="0" borderId="14" xfId="0" applyNumberFormat="1" applyFont="1" applyFill="1" applyBorder="1" applyAlignment="1">
      <alignment horizontal="right"/>
    </xf>
    <xf numFmtId="0" fontId="27" fillId="0" borderId="0" xfId="0" applyFont="1" applyBorder="1"/>
    <xf numFmtId="0" fontId="28" fillId="0" borderId="25" xfId="0" applyFont="1" applyFill="1" applyBorder="1"/>
    <xf numFmtId="2" fontId="15" fillId="0" borderId="18" xfId="0" applyNumberFormat="1" applyFont="1" applyFill="1" applyBorder="1"/>
    <xf numFmtId="165" fontId="15" fillId="0" borderId="18" xfId="0" applyNumberFormat="1" applyFont="1" applyFill="1" applyBorder="1"/>
    <xf numFmtId="165" fontId="15" fillId="0" borderId="10" xfId="0" applyNumberFormat="1" applyFont="1" applyFill="1" applyBorder="1"/>
    <xf numFmtId="165" fontId="15" fillId="3" borderId="16" xfId="0" applyNumberFormat="1" applyFont="1" applyFill="1" applyBorder="1"/>
    <xf numFmtId="165" fontId="15" fillId="3" borderId="18" xfId="0" applyNumberFormat="1" applyFont="1" applyFill="1" applyBorder="1"/>
    <xf numFmtId="164" fontId="15" fillId="3" borderId="16" xfId="0" applyNumberFormat="1" applyFont="1" applyFill="1" applyBorder="1"/>
    <xf numFmtId="164" fontId="15" fillId="3" borderId="18" xfId="0" applyNumberFormat="1" applyFont="1" applyFill="1" applyBorder="1"/>
    <xf numFmtId="164" fontId="15" fillId="3" borderId="10" xfId="0" applyNumberFormat="1" applyFont="1" applyFill="1" applyBorder="1"/>
    <xf numFmtId="2" fontId="15" fillId="3" borderId="12" xfId="0" applyNumberFormat="1" applyFont="1" applyFill="1" applyBorder="1"/>
    <xf numFmtId="2" fontId="15" fillId="3" borderId="1" xfId="0" applyNumberFormat="1" applyFont="1" applyFill="1" applyBorder="1"/>
    <xf numFmtId="165" fontId="15" fillId="2" borderId="16" xfId="0" applyNumberFormat="1" applyFont="1" applyFill="1" applyBorder="1"/>
    <xf numFmtId="165" fontId="15" fillId="2" borderId="18" xfId="0" applyNumberFormat="1" applyFont="1" applyFill="1" applyBorder="1"/>
    <xf numFmtId="2" fontId="15" fillId="3" borderId="18" xfId="0" applyNumberFormat="1" applyFont="1" applyFill="1" applyBorder="1"/>
    <xf numFmtId="2" fontId="15" fillId="3" borderId="16" xfId="0" applyNumberFormat="1" applyFont="1" applyFill="1" applyBorder="1"/>
    <xf numFmtId="2" fontId="15" fillId="3" borderId="10" xfId="0" applyNumberFormat="1" applyFont="1" applyFill="1" applyBorder="1"/>
    <xf numFmtId="165" fontId="15" fillId="5" borderId="18" xfId="0" applyNumberFormat="1" applyFont="1" applyFill="1" applyBorder="1"/>
    <xf numFmtId="165" fontId="15" fillId="3" borderId="14" xfId="0" applyNumberFormat="1" applyFont="1" applyFill="1" applyBorder="1"/>
    <xf numFmtId="2" fontId="29" fillId="3" borderId="33" xfId="0" applyNumberFormat="1" applyFont="1" applyFill="1" applyBorder="1"/>
    <xf numFmtId="2" fontId="15" fillId="3" borderId="27" xfId="0" applyNumberFormat="1" applyFont="1" applyFill="1" applyBorder="1"/>
    <xf numFmtId="2" fontId="30" fillId="3" borderId="10" xfId="0" applyNumberFormat="1" applyFont="1" applyFill="1" applyBorder="1"/>
    <xf numFmtId="2" fontId="30" fillId="3" borderId="1" xfId="0" applyNumberFormat="1" applyFont="1" applyFill="1" applyBorder="1"/>
    <xf numFmtId="2" fontId="31" fillId="3" borderId="10" xfId="0" applyNumberFormat="1" applyFont="1" applyFill="1" applyBorder="1"/>
    <xf numFmtId="4" fontId="15" fillId="3" borderId="18" xfId="0" applyNumberFormat="1" applyFont="1" applyFill="1" applyBorder="1" applyAlignment="1">
      <alignment horizontal="right" vertical="top" wrapText="1"/>
    </xf>
    <xf numFmtId="2" fontId="29" fillId="3" borderId="1" xfId="0" applyNumberFormat="1" applyFont="1" applyFill="1" applyBorder="1"/>
    <xf numFmtId="2" fontId="15" fillId="3" borderId="11" xfId="0" applyNumberFormat="1" applyFont="1" applyFill="1" applyBorder="1"/>
    <xf numFmtId="165" fontId="15" fillId="3" borderId="1" xfId="0" applyNumberFormat="1" applyFont="1" applyFill="1" applyBorder="1"/>
    <xf numFmtId="2" fontId="15" fillId="2" borderId="1" xfId="0" applyNumberFormat="1" applyFont="1" applyFill="1" applyBorder="1"/>
    <xf numFmtId="165" fontId="15" fillId="3" borderId="10" xfId="0" applyNumberFormat="1" applyFont="1" applyFill="1" applyBorder="1"/>
    <xf numFmtId="4" fontId="5" fillId="3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" fontId="5" fillId="3" borderId="21" xfId="0" applyNumberFormat="1" applyFont="1" applyFill="1" applyBorder="1" applyAlignment="1">
      <alignment horizontal="left"/>
    </xf>
    <xf numFmtId="0" fontId="5" fillId="2" borderId="48" xfId="0" applyFont="1" applyFill="1" applyBorder="1"/>
    <xf numFmtId="4" fontId="5" fillId="0" borderId="18" xfId="0" applyNumberFormat="1" applyFont="1" applyFill="1" applyBorder="1" applyAlignment="1">
      <alignment horizontal="center" vertical="top" wrapText="1"/>
    </xf>
    <xf numFmtId="2" fontId="5" fillId="0" borderId="18" xfId="0" applyNumberFormat="1" applyFont="1" applyFill="1" applyBorder="1" applyAlignment="1">
      <alignment horizontal="right"/>
    </xf>
    <xf numFmtId="0" fontId="0" fillId="0" borderId="26" xfId="0" applyBorder="1"/>
    <xf numFmtId="165" fontId="5" fillId="0" borderId="14" xfId="0" applyNumberFormat="1" applyFont="1" applyFill="1" applyBorder="1"/>
    <xf numFmtId="2" fontId="24" fillId="3" borderId="32" xfId="0" applyNumberFormat="1" applyFont="1" applyFill="1" applyBorder="1"/>
    <xf numFmtId="2" fontId="24" fillId="3" borderId="28" xfId="0" applyNumberFormat="1" applyFont="1" applyFill="1" applyBorder="1"/>
    <xf numFmtId="2" fontId="24" fillId="3" borderId="24" xfId="0" applyNumberFormat="1" applyFont="1" applyFill="1" applyBorder="1"/>
    <xf numFmtId="0" fontId="6" fillId="0" borderId="37" xfId="0" applyFont="1" applyFill="1" applyBorder="1" applyAlignment="1">
      <alignment horizontal="center"/>
    </xf>
    <xf numFmtId="2" fontId="5" fillId="3" borderId="14" xfId="0" applyNumberFormat="1" applyFont="1" applyFill="1" applyBorder="1"/>
    <xf numFmtId="166" fontId="7" fillId="0" borderId="0" xfId="0" applyNumberFormat="1" applyFont="1" applyBorder="1" applyAlignment="1">
      <alignment horizontal="left"/>
    </xf>
    <xf numFmtId="4" fontId="7" fillId="0" borderId="17" xfId="0" applyNumberFormat="1" applyFont="1" applyBorder="1" applyAlignment="1">
      <alignment horizontal="left"/>
    </xf>
    <xf numFmtId="0" fontId="5" fillId="2" borderId="17" xfId="0" applyFont="1" applyFill="1" applyBorder="1"/>
    <xf numFmtId="4" fontId="32" fillId="3" borderId="1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26" xfId="0" applyFont="1" applyFill="1" applyBorder="1" applyAlignment="1">
      <alignment horizontal="left"/>
    </xf>
    <xf numFmtId="0" fontId="5" fillId="0" borderId="37" xfId="0" applyFont="1" applyFill="1" applyBorder="1" applyAlignment="1">
      <alignment horizontal="left"/>
    </xf>
    <xf numFmtId="2" fontId="24" fillId="3" borderId="22" xfId="0" applyNumberFormat="1" applyFont="1" applyFill="1" applyBorder="1"/>
    <xf numFmtId="2" fontId="29" fillId="3" borderId="49" xfId="0" applyNumberFormat="1" applyFont="1" applyFill="1" applyBorder="1"/>
    <xf numFmtId="0" fontId="5" fillId="0" borderId="19" xfId="0" applyFont="1" applyFill="1" applyBorder="1" applyAlignment="1">
      <alignment horizontal="left"/>
    </xf>
    <xf numFmtId="0" fontId="1" fillId="0" borderId="2" xfId="0" applyFont="1" applyFill="1" applyBorder="1"/>
    <xf numFmtId="0" fontId="1" fillId="0" borderId="3" xfId="0" applyFont="1" applyFill="1" applyBorder="1"/>
    <xf numFmtId="0" fontId="0" fillId="0" borderId="0" xfId="0" applyFill="1"/>
    <xf numFmtId="0" fontId="1" fillId="0" borderId="7" xfId="0" applyFont="1" applyFill="1" applyBorder="1"/>
    <xf numFmtId="0" fontId="16" fillId="0" borderId="0" xfId="0" applyFont="1" applyBorder="1"/>
    <xf numFmtId="0" fontId="1" fillId="4" borderId="0" xfId="0" applyFont="1" applyFill="1" applyBorder="1"/>
    <xf numFmtId="0" fontId="0" fillId="4" borderId="0" xfId="0" applyFill="1" applyBorder="1"/>
    <xf numFmtId="2" fontId="0" fillId="4" borderId="0" xfId="0" applyNumberFormat="1" applyFill="1" applyBorder="1"/>
    <xf numFmtId="0" fontId="21" fillId="0" borderId="0" xfId="0" applyFont="1" applyBorder="1"/>
    <xf numFmtId="0" fontId="21" fillId="0" borderId="0" xfId="0" applyFont="1" applyFill="1" applyBorder="1"/>
    <xf numFmtId="0" fontId="16" fillId="0" borderId="0" xfId="0" applyFont="1" applyFill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6" fillId="0" borderId="40" xfId="0" applyFont="1" applyBorder="1"/>
    <xf numFmtId="0" fontId="0" fillId="0" borderId="50" xfId="0" applyBorder="1"/>
    <xf numFmtId="0" fontId="6" fillId="0" borderId="29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51" xfId="0" applyFont="1" applyFill="1" applyBorder="1"/>
    <xf numFmtId="2" fontId="5" fillId="0" borderId="52" xfId="0" applyNumberFormat="1" applyFont="1" applyFill="1" applyBorder="1" applyAlignment="1">
      <alignment horizontal="right"/>
    </xf>
    <xf numFmtId="0" fontId="5" fillId="0" borderId="51" xfId="0" applyFont="1" applyBorder="1"/>
    <xf numFmtId="2" fontId="5" fillId="0" borderId="52" xfId="0" applyNumberFormat="1" applyFont="1" applyFill="1" applyBorder="1"/>
    <xf numFmtId="165" fontId="5" fillId="0" borderId="52" xfId="0" applyNumberFormat="1" applyFont="1" applyFill="1" applyBorder="1"/>
    <xf numFmtId="0" fontId="5" fillId="0" borderId="53" xfId="0" applyFont="1" applyBorder="1"/>
    <xf numFmtId="165" fontId="5" fillId="0" borderId="54" xfId="0" applyNumberFormat="1" applyFont="1" applyFill="1" applyBorder="1"/>
    <xf numFmtId="0" fontId="5" fillId="0" borderId="41" xfId="0" applyFont="1" applyBorder="1"/>
    <xf numFmtId="165" fontId="5" fillId="0" borderId="15" xfId="0" applyNumberFormat="1" applyFont="1" applyFill="1" applyBorder="1"/>
    <xf numFmtId="165" fontId="5" fillId="3" borderId="52" xfId="0" applyNumberFormat="1" applyFont="1" applyFill="1" applyBorder="1"/>
    <xf numFmtId="164" fontId="5" fillId="3" borderId="52" xfId="0" applyNumberFormat="1" applyFont="1" applyFill="1" applyBorder="1"/>
    <xf numFmtId="0" fontId="5" fillId="0" borderId="55" xfId="0" applyFont="1" applyBorder="1"/>
    <xf numFmtId="4" fontId="6" fillId="3" borderId="42" xfId="0" applyNumberFormat="1" applyFont="1" applyFill="1" applyBorder="1" applyAlignment="1">
      <alignment horizontal="left"/>
    </xf>
    <xf numFmtId="2" fontId="5" fillId="3" borderId="6" xfId="0" applyNumberFormat="1" applyFont="1" applyFill="1" applyBorder="1"/>
    <xf numFmtId="0" fontId="5" fillId="2" borderId="51" xfId="0" applyFont="1" applyFill="1" applyBorder="1"/>
    <xf numFmtId="165" fontId="5" fillId="2" borderId="52" xfId="0" applyNumberFormat="1" applyFont="1" applyFill="1" applyBorder="1"/>
    <xf numFmtId="0" fontId="5" fillId="0" borderId="51" xfId="0" applyFont="1" applyFill="1" applyBorder="1" applyAlignment="1">
      <alignment horizontal="left"/>
    </xf>
    <xf numFmtId="2" fontId="5" fillId="3" borderId="52" xfId="0" applyNumberFormat="1" applyFont="1" applyFill="1" applyBorder="1"/>
    <xf numFmtId="2" fontId="5" fillId="3" borderId="54" xfId="0" applyNumberFormat="1" applyFont="1" applyFill="1" applyBorder="1"/>
    <xf numFmtId="165" fontId="5" fillId="5" borderId="52" xfId="0" applyNumberFormat="1" applyFont="1" applyFill="1" applyBorder="1"/>
    <xf numFmtId="4" fontId="5" fillId="0" borderId="51" xfId="0" applyNumberFormat="1" applyFont="1" applyFill="1" applyBorder="1" applyAlignment="1">
      <alignment horizontal="left"/>
    </xf>
    <xf numFmtId="4" fontId="5" fillId="3" borderId="42" xfId="0" applyNumberFormat="1" applyFont="1" applyFill="1" applyBorder="1" applyAlignment="1">
      <alignment horizontal="left"/>
    </xf>
    <xf numFmtId="165" fontId="5" fillId="3" borderId="15" xfId="0" applyNumberFormat="1" applyFont="1" applyFill="1" applyBorder="1"/>
    <xf numFmtId="4" fontId="5" fillId="3" borderId="5" xfId="0" applyNumberFormat="1" applyFont="1" applyFill="1" applyBorder="1" applyAlignment="1">
      <alignment horizontal="left"/>
    </xf>
    <xf numFmtId="4" fontId="5" fillId="0" borderId="5" xfId="0" applyNumberFormat="1" applyFont="1" applyFill="1" applyBorder="1" applyAlignment="1">
      <alignment horizontal="left"/>
    </xf>
    <xf numFmtId="2" fontId="13" fillId="3" borderId="6" xfId="0" applyNumberFormat="1" applyFont="1" applyFill="1" applyBorder="1"/>
    <xf numFmtId="4" fontId="5" fillId="3" borderId="6" xfId="0" applyNumberFormat="1" applyFont="1" applyFill="1" applyBorder="1" applyAlignment="1">
      <alignment horizontal="right" vertical="top" wrapText="1"/>
    </xf>
    <xf numFmtId="4" fontId="5" fillId="0" borderId="53" xfId="0" applyNumberFormat="1" applyFont="1" applyFill="1" applyBorder="1" applyAlignment="1">
      <alignment horizontal="left"/>
    </xf>
    <xf numFmtId="2" fontId="24" fillId="3" borderId="56" xfId="0" applyNumberFormat="1" applyFont="1" applyFill="1" applyBorder="1"/>
    <xf numFmtId="0" fontId="5" fillId="2" borderId="31" xfId="0" applyFont="1" applyFill="1" applyBorder="1"/>
    <xf numFmtId="0" fontId="5" fillId="0" borderId="57" xfId="0" applyFont="1" applyBorder="1"/>
    <xf numFmtId="0" fontId="0" fillId="0" borderId="58" xfId="0" applyBorder="1"/>
    <xf numFmtId="0" fontId="5" fillId="0" borderId="59" xfId="0" applyFont="1" applyBorder="1" applyAlignment="1">
      <alignment horizontal="center"/>
    </xf>
    <xf numFmtId="4" fontId="5" fillId="0" borderId="59" xfId="0" applyNumberFormat="1" applyFont="1" applyBorder="1" applyAlignment="1">
      <alignment horizontal="center" vertical="top" wrapText="1"/>
    </xf>
    <xf numFmtId="2" fontId="5" fillId="3" borderId="60" xfId="0" applyNumberFormat="1" applyFont="1" applyFill="1" applyBorder="1"/>
    <xf numFmtId="2" fontId="5" fillId="3" borderId="61" xfId="0" applyNumberFormat="1" applyFont="1" applyFill="1" applyBorder="1"/>
    <xf numFmtId="0" fontId="0" fillId="0" borderId="27" xfId="0" applyBorder="1"/>
    <xf numFmtId="4" fontId="5" fillId="0" borderId="62" xfId="0" applyNumberFormat="1" applyFont="1" applyFill="1" applyBorder="1" applyAlignment="1">
      <alignment horizontal="left"/>
    </xf>
    <xf numFmtId="0" fontId="0" fillId="0" borderId="21" xfId="0" applyBorder="1"/>
    <xf numFmtId="0" fontId="6" fillId="0" borderId="51" xfId="0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99683339177751"/>
          <c:y val="6.5590898159247804E-2"/>
          <c:w val="0.58613578161029456"/>
          <c:h val="0.72021366513483853"/>
        </c:manualLayout>
      </c:layout>
      <c:scatterChart>
        <c:scatterStyle val="smoothMarker"/>
        <c:varyColors val="0"/>
        <c:ser>
          <c:idx val="0"/>
          <c:order val="0"/>
          <c:tx>
            <c:v>Q(h)</c:v>
          </c:tx>
          <c:xVal>
            <c:numRef>
              <c:f>Zbyhněvice!$A$68:$A$84</c:f>
              <c:numCache>
                <c:formatCode>General</c:formatCode>
                <c:ptCount val="17"/>
                <c:pt idx="0">
                  <c:v>0</c:v>
                </c:pt>
                <c:pt idx="1">
                  <c:v>0.05</c:v>
                </c:pt>
                <c:pt idx="2">
                  <c:v>7.0000000000000007E-2</c:v>
                </c:pt>
                <c:pt idx="3">
                  <c:v>0.1</c:v>
                </c:pt>
                <c:pt idx="4">
                  <c:v>0.2</c:v>
                </c:pt>
                <c:pt idx="5">
                  <c:v>0.22500000000000001</c:v>
                </c:pt>
                <c:pt idx="6">
                  <c:v>0.25</c:v>
                </c:pt>
                <c:pt idx="7">
                  <c:v>0.27500000000000002</c:v>
                </c:pt>
                <c:pt idx="8">
                  <c:v>0.3</c:v>
                </c:pt>
                <c:pt idx="9">
                  <c:v>0.33500000000000002</c:v>
                </c:pt>
                <c:pt idx="10">
                  <c:v>0.35</c:v>
                </c:pt>
                <c:pt idx="11">
                  <c:v>0.37</c:v>
                </c:pt>
                <c:pt idx="12">
                  <c:v>0.45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</c:numCache>
            </c:numRef>
          </c:xVal>
          <c:yVal>
            <c:numRef>
              <c:f>Zbyhněvice!$G$68:$G$84</c:f>
              <c:numCache>
                <c:formatCode>0.00</c:formatCode>
                <c:ptCount val="17"/>
                <c:pt idx="0" formatCode="General">
                  <c:v>0</c:v>
                </c:pt>
                <c:pt idx="1">
                  <c:v>9.887272544973234E-3</c:v>
                </c:pt>
                <c:pt idx="2">
                  <c:v>1.7940225234227031E-2</c:v>
                </c:pt>
                <c:pt idx="3">
                  <c:v>3.4394108940527628E-2</c:v>
                </c:pt>
                <c:pt idx="4">
                  <c:v>0.13192372426609039</c:v>
                </c:pt>
                <c:pt idx="5">
                  <c:v>0.16786732320049794</c:v>
                </c:pt>
                <c:pt idx="6">
                  <c:v>0.20893926918573277</c:v>
                </c:pt>
                <c:pt idx="7">
                  <c:v>0.25538552926636582</c:v>
                </c:pt>
                <c:pt idx="8">
                  <c:v>0.30744789986346982</c:v>
                </c:pt>
                <c:pt idx="9">
                  <c:v>0.39022196671515397</c:v>
                </c:pt>
                <c:pt idx="10">
                  <c:v>0.42936746103242418</c:v>
                </c:pt>
                <c:pt idx="11">
                  <c:v>0.48510756990434617</c:v>
                </c:pt>
                <c:pt idx="12">
                  <c:v>0.75079353650652814</c:v>
                </c:pt>
                <c:pt idx="13">
                  <c:v>0.95383400092089887</c:v>
                </c:pt>
                <c:pt idx="14">
                  <c:v>1.4530311510029379</c:v>
                </c:pt>
                <c:pt idx="15">
                  <c:v>2.0871684596053175</c:v>
                </c:pt>
                <c:pt idx="16">
                  <c:v>2.8686827502475896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DC-4E67-AF64-899BAB72A8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08064"/>
        <c:axId val="182010240"/>
      </c:scatterChart>
      <c:scatterChart>
        <c:scatterStyle val="smoothMarker"/>
        <c:varyColors val="0"/>
        <c:ser>
          <c:idx val="1"/>
          <c:order val="1"/>
          <c:tx>
            <c:v>v(h)</c:v>
          </c:tx>
          <c:xVal>
            <c:numRef>
              <c:f>Zbyhněvice!$A$68:$A$84</c:f>
              <c:numCache>
                <c:formatCode>General</c:formatCode>
                <c:ptCount val="17"/>
                <c:pt idx="0">
                  <c:v>0</c:v>
                </c:pt>
                <c:pt idx="1">
                  <c:v>0.05</c:v>
                </c:pt>
                <c:pt idx="2">
                  <c:v>7.0000000000000007E-2</c:v>
                </c:pt>
                <c:pt idx="3">
                  <c:v>0.1</c:v>
                </c:pt>
                <c:pt idx="4">
                  <c:v>0.2</c:v>
                </c:pt>
                <c:pt idx="5">
                  <c:v>0.22500000000000001</c:v>
                </c:pt>
                <c:pt idx="6">
                  <c:v>0.25</c:v>
                </c:pt>
                <c:pt idx="7">
                  <c:v>0.27500000000000002</c:v>
                </c:pt>
                <c:pt idx="8">
                  <c:v>0.3</c:v>
                </c:pt>
                <c:pt idx="9">
                  <c:v>0.33500000000000002</c:v>
                </c:pt>
                <c:pt idx="10">
                  <c:v>0.35</c:v>
                </c:pt>
                <c:pt idx="11">
                  <c:v>0.37</c:v>
                </c:pt>
                <c:pt idx="12">
                  <c:v>0.45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</c:numCache>
            </c:numRef>
          </c:xVal>
          <c:yVal>
            <c:numRef>
              <c:f>Zbyhněvice!$F$68:$F$84</c:f>
              <c:numCache>
                <c:formatCode>0.00</c:formatCode>
                <c:ptCount val="17"/>
                <c:pt idx="0" formatCode="General">
                  <c:v>0</c:v>
                </c:pt>
                <c:pt idx="1">
                  <c:v>0.52732120239857239</c:v>
                </c:pt>
                <c:pt idx="2">
                  <c:v>0.63281217757414565</c:v>
                </c:pt>
                <c:pt idx="3">
                  <c:v>0.76431353201172492</c:v>
                </c:pt>
                <c:pt idx="4">
                  <c:v>1.0993643688840864</c:v>
                </c:pt>
                <c:pt idx="5">
                  <c:v>1.17031685019955</c:v>
                </c:pt>
                <c:pt idx="6">
                  <c:v>1.2381586322117497</c:v>
                </c:pt>
                <c:pt idx="7">
                  <c:v>1.3034030201792193</c:v>
                </c:pt>
                <c:pt idx="8">
                  <c:v>1.3664351105043104</c:v>
                </c:pt>
                <c:pt idx="9">
                  <c:v>1.4515161267128058</c:v>
                </c:pt>
                <c:pt idx="10">
                  <c:v>1.4869868780343698</c:v>
                </c:pt>
                <c:pt idx="11">
                  <c:v>1.5334520938970957</c:v>
                </c:pt>
                <c:pt idx="12">
                  <c:v>1.7112103396160185</c:v>
                </c:pt>
                <c:pt idx="13">
                  <c:v>1.8168266684207597</c:v>
                </c:pt>
                <c:pt idx="14">
                  <c:v>2.0180988208374138</c:v>
                </c:pt>
                <c:pt idx="15">
                  <c:v>2.2086438725982198</c:v>
                </c:pt>
                <c:pt idx="16">
                  <c:v>2.3905689585396575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DC-4E67-AF64-899BAB72A8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14336"/>
        <c:axId val="182012160"/>
      </c:scatterChart>
      <c:valAx>
        <c:axId val="18200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h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2010240"/>
        <c:crosses val="autoZero"/>
        <c:crossBetween val="midCat"/>
      </c:valAx>
      <c:valAx>
        <c:axId val="182010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Q [m</a:t>
                </a:r>
                <a:r>
                  <a:rPr lang="cs-CZ" baseline="30000"/>
                  <a:t>3</a:t>
                </a:r>
                <a:r>
                  <a:rPr lang="cs-CZ"/>
                  <a:t>/s]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2008064"/>
        <c:crosses val="autoZero"/>
        <c:crossBetween val="midCat"/>
      </c:valAx>
      <c:valAx>
        <c:axId val="18201216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v [m/s]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2014336"/>
        <c:crosses val="max"/>
        <c:crossBetween val="midCat"/>
      </c:valAx>
      <c:valAx>
        <c:axId val="182014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2012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99683339177756"/>
          <c:y val="6.5590898159247804E-2"/>
          <c:w val="0.58613578161029456"/>
          <c:h val="0.72021366513483853"/>
        </c:manualLayout>
      </c:layout>
      <c:scatterChart>
        <c:scatterStyle val="smoothMarker"/>
        <c:varyColors val="0"/>
        <c:ser>
          <c:idx val="0"/>
          <c:order val="0"/>
          <c:tx>
            <c:v>Q(h)</c:v>
          </c:tx>
          <c:xVal>
            <c:numRef>
              <c:f>Zbyhněvice!$A$106:$A$118</c:f>
              <c:numCache>
                <c:formatCode>General</c:formatCode>
                <c:ptCount val="13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0.215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0.45</c:v>
                </c:pt>
                <c:pt idx="9">
                  <c:v>0.5</c:v>
                </c:pt>
                <c:pt idx="10">
                  <c:v>0.6</c:v>
                </c:pt>
                <c:pt idx="11">
                  <c:v>0.7</c:v>
                </c:pt>
                <c:pt idx="12">
                  <c:v>0.8</c:v>
                </c:pt>
              </c:numCache>
            </c:numRef>
          </c:xVal>
          <c:yVal>
            <c:numRef>
              <c:f>Zbyhněvice!$G$106:$G$118</c:f>
              <c:numCache>
                <c:formatCode>0.00</c:formatCode>
                <c:ptCount val="13"/>
                <c:pt idx="0" formatCode="General">
                  <c:v>0</c:v>
                </c:pt>
                <c:pt idx="1">
                  <c:v>3.1914003252055324E-2</c:v>
                </c:pt>
                <c:pt idx="2">
                  <c:v>0.1110168349852558</c:v>
                </c:pt>
                <c:pt idx="3">
                  <c:v>0.24020676952533179</c:v>
                </c:pt>
                <c:pt idx="4">
                  <c:v>0.49349106853182267</c:v>
                </c:pt>
                <c:pt idx="5">
                  <c:v>0.67441131878837979</c:v>
                </c:pt>
                <c:pt idx="6">
                  <c:v>0.99237613117773282</c:v>
                </c:pt>
                <c:pt idx="7">
                  <c:v>1.3859064251932807</c:v>
                </c:pt>
                <c:pt idx="8">
                  <c:v>2.4234011206531703</c:v>
                </c:pt>
                <c:pt idx="9">
                  <c:v>3.0787723579832718</c:v>
                </c:pt>
                <c:pt idx="10">
                  <c:v>4.6900740995575525</c:v>
                </c:pt>
                <c:pt idx="11">
                  <c:v>6.7369338414056754</c:v>
                </c:pt>
                <c:pt idx="12">
                  <c:v>9.2594949925863936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8A-4043-A87F-A7D51E0B7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654848"/>
        <c:axId val="182661120"/>
      </c:scatterChart>
      <c:scatterChart>
        <c:scatterStyle val="smoothMarker"/>
        <c:varyColors val="0"/>
        <c:ser>
          <c:idx val="1"/>
          <c:order val="1"/>
          <c:tx>
            <c:v>v(h)</c:v>
          </c:tx>
          <c:xVal>
            <c:numRef>
              <c:f>Zbyhněvice!$A$106:$A$118</c:f>
              <c:numCache>
                <c:formatCode>General</c:formatCode>
                <c:ptCount val="13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0.215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0.45</c:v>
                </c:pt>
                <c:pt idx="9">
                  <c:v>0.5</c:v>
                </c:pt>
                <c:pt idx="10">
                  <c:v>0.6</c:v>
                </c:pt>
                <c:pt idx="11">
                  <c:v>0.7</c:v>
                </c:pt>
                <c:pt idx="12">
                  <c:v>0.8</c:v>
                </c:pt>
              </c:numCache>
            </c:numRef>
          </c:xVal>
          <c:yVal>
            <c:numRef>
              <c:f>Zbyhněvice!$F$106:$F$118</c:f>
              <c:numCache>
                <c:formatCode>0.00</c:formatCode>
                <c:ptCount val="13"/>
                <c:pt idx="0" formatCode="General">
                  <c:v>0</c:v>
                </c:pt>
                <c:pt idx="1">
                  <c:v>1.7020801734429505</c:v>
                </c:pt>
                <c:pt idx="2">
                  <c:v>2.4670407774501286</c:v>
                </c:pt>
                <c:pt idx="3">
                  <c:v>3.0502446923851663</c:v>
                </c:pt>
                <c:pt idx="4">
                  <c:v>3.6872406353363045</c:v>
                </c:pt>
                <c:pt idx="5">
                  <c:v>3.9965115187459541</c:v>
                </c:pt>
                <c:pt idx="6">
                  <c:v>4.4105605830121464</c:v>
                </c:pt>
                <c:pt idx="7">
                  <c:v>4.7996759314053019</c:v>
                </c:pt>
                <c:pt idx="8">
                  <c:v>5.5234213576140627</c:v>
                </c:pt>
                <c:pt idx="9">
                  <c:v>5.8643283009205174</c:v>
                </c:pt>
                <c:pt idx="10">
                  <c:v>6.5139918049410452</c:v>
                </c:pt>
                <c:pt idx="11">
                  <c:v>7.1290305200060073</c:v>
                </c:pt>
                <c:pt idx="12">
                  <c:v>7.7162458271553263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58A-4043-A87F-A7D51E0B7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665216"/>
        <c:axId val="182663040"/>
      </c:scatterChart>
      <c:valAx>
        <c:axId val="18265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h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2661120"/>
        <c:crosses val="autoZero"/>
        <c:crossBetween val="midCat"/>
      </c:valAx>
      <c:valAx>
        <c:axId val="1826611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Q [m</a:t>
                </a:r>
                <a:r>
                  <a:rPr lang="cs-CZ" baseline="30000"/>
                  <a:t>3</a:t>
                </a:r>
                <a:r>
                  <a:rPr lang="cs-CZ"/>
                  <a:t>/s]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2654848"/>
        <c:crosses val="autoZero"/>
        <c:crossBetween val="midCat"/>
      </c:valAx>
      <c:valAx>
        <c:axId val="18266304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v [m/s]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2665216"/>
        <c:crosses val="max"/>
        <c:crossBetween val="midCat"/>
      </c:valAx>
      <c:valAx>
        <c:axId val="1826652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26630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99683339177762"/>
          <c:y val="6.5590898159247804E-2"/>
          <c:w val="0.58613578161029456"/>
          <c:h val="0.72021366513483853"/>
        </c:manualLayout>
      </c:layout>
      <c:scatterChart>
        <c:scatterStyle val="smoothMarker"/>
        <c:varyColors val="0"/>
        <c:ser>
          <c:idx val="0"/>
          <c:order val="0"/>
          <c:tx>
            <c:v>Q(h)</c:v>
          </c:tx>
          <c:xVal>
            <c:numRef>
              <c:f>Zbyhněvice!$A$262:$A$274</c:f>
              <c:numCache>
                <c:formatCode>0.00</c:formatCode>
                <c:ptCount val="13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0.14000000000000001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0.41499999999999998</c:v>
                </c:pt>
                <c:pt idx="8">
                  <c:v>0.48499999999999999</c:v>
                </c:pt>
                <c:pt idx="9">
                  <c:v>0.53500000000000003</c:v>
                </c:pt>
                <c:pt idx="10">
                  <c:v>0.6</c:v>
                </c:pt>
                <c:pt idx="11">
                  <c:v>0.7</c:v>
                </c:pt>
                <c:pt idx="12">
                  <c:v>0.8</c:v>
                </c:pt>
              </c:numCache>
            </c:numRef>
          </c:xVal>
          <c:yVal>
            <c:numRef>
              <c:f>Zbyhněvice!$G$262:$G$274</c:f>
              <c:numCache>
                <c:formatCode>0.00</c:formatCode>
                <c:ptCount val="13"/>
                <c:pt idx="0">
                  <c:v>0</c:v>
                </c:pt>
                <c:pt idx="1">
                  <c:v>4.9090246244128969E-3</c:v>
                </c:pt>
                <c:pt idx="2">
                  <c:v>1.7076653541793003E-2</c:v>
                </c:pt>
                <c:pt idx="3">
                  <c:v>3.2312300161310072E-2</c:v>
                </c:pt>
                <c:pt idx="4">
                  <c:v>0.10373821625470056</c:v>
                </c:pt>
                <c:pt idx="5">
                  <c:v>0.15264768967263154</c:v>
                </c:pt>
                <c:pt idx="6">
                  <c:v>0.21318067541300101</c:v>
                </c:pt>
                <c:pt idx="7">
                  <c:v>0.31076031521897146</c:v>
                </c:pt>
                <c:pt idx="8">
                  <c:v>0.44178341224090356</c:v>
                </c:pt>
                <c:pt idx="9">
                  <c:v>0.55310270615405699</c:v>
                </c:pt>
                <c:pt idx="10">
                  <c:v>0.72142905617979458</c:v>
                </c:pt>
                <c:pt idx="11">
                  <c:v>1.0362778326273168</c:v>
                </c:pt>
                <c:pt idx="12">
                  <c:v>1.4242991883290956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9C2-412A-B6AB-90A7C1C67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695424"/>
        <c:axId val="182697344"/>
      </c:scatterChart>
      <c:scatterChart>
        <c:scatterStyle val="smoothMarker"/>
        <c:varyColors val="0"/>
        <c:ser>
          <c:idx val="1"/>
          <c:order val="1"/>
          <c:tx>
            <c:v>v(h)</c:v>
          </c:tx>
          <c:xVal>
            <c:numRef>
              <c:f>Zbyhněvice!$A$262:$A$274</c:f>
              <c:numCache>
                <c:formatCode>0.00</c:formatCode>
                <c:ptCount val="13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0.14000000000000001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0.41499999999999998</c:v>
                </c:pt>
                <c:pt idx="8">
                  <c:v>0.48499999999999999</c:v>
                </c:pt>
                <c:pt idx="9">
                  <c:v>0.53500000000000003</c:v>
                </c:pt>
                <c:pt idx="10">
                  <c:v>0.6</c:v>
                </c:pt>
                <c:pt idx="11">
                  <c:v>0.7</c:v>
                </c:pt>
                <c:pt idx="12">
                  <c:v>0.8</c:v>
                </c:pt>
              </c:numCache>
            </c:numRef>
          </c:xVal>
          <c:yVal>
            <c:numRef>
              <c:f>Zbyhněvice!$F$262:$F$274</c:f>
              <c:numCache>
                <c:formatCode>0.00</c:formatCode>
                <c:ptCount val="13"/>
                <c:pt idx="0">
                  <c:v>0</c:v>
                </c:pt>
                <c:pt idx="1">
                  <c:v>0.26181464663535448</c:v>
                </c:pt>
                <c:pt idx="2">
                  <c:v>0.37948118981762224</c:v>
                </c:pt>
                <c:pt idx="3">
                  <c:v>0.45255322354776006</c:v>
                </c:pt>
                <c:pt idx="4">
                  <c:v>0.61474498521304033</c:v>
                </c:pt>
                <c:pt idx="5">
                  <c:v>0.67843417632280689</c:v>
                </c:pt>
                <c:pt idx="6">
                  <c:v>0.73828805337835857</c:v>
                </c:pt>
                <c:pt idx="7">
                  <c:v>0.81172903704305743</c:v>
                </c:pt>
                <c:pt idx="8">
                  <c:v>0.88651448514491393</c:v>
                </c:pt>
                <c:pt idx="9">
                  <c:v>0.93772048429280441</c:v>
                </c:pt>
                <c:pt idx="10">
                  <c:v>1.0019848002497147</c:v>
                </c:pt>
                <c:pt idx="11">
                  <c:v>1.0965902990765259</c:v>
                </c:pt>
                <c:pt idx="12">
                  <c:v>1.1869159902742461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9C2-412A-B6AB-90A7C1C67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713728"/>
        <c:axId val="182711808"/>
      </c:scatterChart>
      <c:valAx>
        <c:axId val="18269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h [m]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82697344"/>
        <c:crosses val="autoZero"/>
        <c:crossBetween val="midCat"/>
      </c:valAx>
      <c:valAx>
        <c:axId val="182697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Q [m</a:t>
                </a:r>
                <a:r>
                  <a:rPr lang="cs-CZ" baseline="30000"/>
                  <a:t>3</a:t>
                </a:r>
                <a:r>
                  <a:rPr lang="cs-CZ"/>
                  <a:t>/s]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82695424"/>
        <c:crosses val="autoZero"/>
        <c:crossBetween val="midCat"/>
      </c:valAx>
      <c:valAx>
        <c:axId val="18271180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v [m/s]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82713728"/>
        <c:crosses val="max"/>
        <c:crossBetween val="midCat"/>
      </c:valAx>
      <c:valAx>
        <c:axId val="18271372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one"/>
        <c:crossAx val="1827118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99683339177773"/>
          <c:y val="6.5590898159247804E-2"/>
          <c:w val="0.58613578161029456"/>
          <c:h val="0.72021366513483853"/>
        </c:manualLayout>
      </c:layout>
      <c:scatterChart>
        <c:scatterStyle val="smoothMarker"/>
        <c:varyColors val="0"/>
        <c:ser>
          <c:idx val="0"/>
          <c:order val="0"/>
          <c:tx>
            <c:v>Q(h)</c:v>
          </c:tx>
          <c:xVal>
            <c:numRef>
              <c:f>Zbyhněvice!$A$300:$A$310</c:f>
              <c:numCache>
                <c:formatCode>0.00</c:formatCode>
                <c:ptCount val="1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0.14000000000000001</c:v>
                </c:pt>
                <c:pt idx="4">
                  <c:v>0.25</c:v>
                </c:pt>
                <c:pt idx="5">
                  <c:v>0.3</c:v>
                </c:pt>
                <c:pt idx="6">
                  <c:v>0.33200000000000002</c:v>
                </c:pt>
                <c:pt idx="7">
                  <c:v>0.37</c:v>
                </c:pt>
                <c:pt idx="8">
                  <c:v>0.6</c:v>
                </c:pt>
                <c:pt idx="9">
                  <c:v>0.7</c:v>
                </c:pt>
                <c:pt idx="10">
                  <c:v>0.8</c:v>
                </c:pt>
              </c:numCache>
            </c:numRef>
          </c:xVal>
          <c:yVal>
            <c:numRef>
              <c:f>Zbyhněvice!$G$300:$G$310</c:f>
              <c:numCache>
                <c:formatCode>0.00</c:formatCode>
                <c:ptCount val="11"/>
                <c:pt idx="0">
                  <c:v>0</c:v>
                </c:pt>
                <c:pt idx="1">
                  <c:v>1.1283304057168925E-2</c:v>
                </c:pt>
                <c:pt idx="2">
                  <c:v>3.9250378421971162E-2</c:v>
                </c:pt>
                <c:pt idx="3">
                  <c:v>7.426923582608301E-2</c:v>
                </c:pt>
                <c:pt idx="4">
                  <c:v>0.23844040841211289</c:v>
                </c:pt>
                <c:pt idx="5">
                  <c:v>0.35085794592172281</c:v>
                </c:pt>
                <c:pt idx="6">
                  <c:v>0.43669123452988534</c:v>
                </c:pt>
                <c:pt idx="7">
                  <c:v>0.5536022383086725</c:v>
                </c:pt>
                <c:pt idx="8">
                  <c:v>1.6581916000322678</c:v>
                </c:pt>
                <c:pt idx="9">
                  <c:v>2.3818658018315455</c:v>
                </c:pt>
                <c:pt idx="10">
                  <c:v>3.2737258498103592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8A9-4D9A-AA6E-F0F3BBD68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855744"/>
        <c:axId val="183866112"/>
      </c:scatterChart>
      <c:scatterChart>
        <c:scatterStyle val="smoothMarker"/>
        <c:varyColors val="0"/>
        <c:ser>
          <c:idx val="1"/>
          <c:order val="1"/>
          <c:tx>
            <c:v>v(h)</c:v>
          </c:tx>
          <c:xVal>
            <c:numRef>
              <c:f>Zbyhněvice!$A$300:$A$310</c:f>
              <c:numCache>
                <c:formatCode>0.00</c:formatCode>
                <c:ptCount val="1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0.14000000000000001</c:v>
                </c:pt>
                <c:pt idx="4">
                  <c:v>0.25</c:v>
                </c:pt>
                <c:pt idx="5">
                  <c:v>0.3</c:v>
                </c:pt>
                <c:pt idx="6">
                  <c:v>0.33200000000000002</c:v>
                </c:pt>
                <c:pt idx="7">
                  <c:v>0.37</c:v>
                </c:pt>
                <c:pt idx="8">
                  <c:v>0.6</c:v>
                </c:pt>
                <c:pt idx="9">
                  <c:v>0.7</c:v>
                </c:pt>
                <c:pt idx="10">
                  <c:v>0.8</c:v>
                </c:pt>
              </c:numCache>
            </c:numRef>
          </c:xVal>
          <c:yVal>
            <c:numRef>
              <c:f>Zbyhněvice!$F$300:$F$310</c:f>
              <c:numCache>
                <c:formatCode>0.00</c:formatCode>
                <c:ptCount val="11"/>
                <c:pt idx="0">
                  <c:v>0</c:v>
                </c:pt>
                <c:pt idx="1">
                  <c:v>0.60177621638234258</c:v>
                </c:pt>
                <c:pt idx="2">
                  <c:v>0.8722306315993591</c:v>
                </c:pt>
                <c:pt idx="3">
                  <c:v>1.0401853757154482</c:v>
                </c:pt>
                <c:pt idx="4">
                  <c:v>1.4129801979977059</c:v>
                </c:pt>
                <c:pt idx="5">
                  <c:v>1.5593686485409906</c:v>
                </c:pt>
                <c:pt idx="6">
                  <c:v>1.6482895285272117</c:v>
                </c:pt>
                <c:pt idx="7">
                  <c:v>1.7499675622211872</c:v>
                </c:pt>
                <c:pt idx="8">
                  <c:v>2.3030438889337055</c:v>
                </c:pt>
                <c:pt idx="9">
                  <c:v>2.5204929119910537</c:v>
                </c:pt>
                <c:pt idx="10">
                  <c:v>2.7281048748419656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8A9-4D9A-AA6E-F0F3BBD68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870208"/>
        <c:axId val="183868032"/>
      </c:scatterChart>
      <c:valAx>
        <c:axId val="1838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h [m]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83866112"/>
        <c:crosses val="autoZero"/>
        <c:crossBetween val="midCat"/>
      </c:valAx>
      <c:valAx>
        <c:axId val="183866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Q [m</a:t>
                </a:r>
                <a:r>
                  <a:rPr lang="cs-CZ" baseline="30000"/>
                  <a:t>3</a:t>
                </a:r>
                <a:r>
                  <a:rPr lang="cs-CZ"/>
                  <a:t>/s]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83855744"/>
        <c:crosses val="autoZero"/>
        <c:crossBetween val="midCat"/>
      </c:valAx>
      <c:valAx>
        <c:axId val="18386803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v [m/s]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83870208"/>
        <c:crosses val="max"/>
        <c:crossBetween val="midCat"/>
      </c:valAx>
      <c:valAx>
        <c:axId val="18387020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one"/>
        <c:crossAx val="1838680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99683339177762"/>
          <c:y val="6.5590898159247804E-2"/>
          <c:w val="0.58613578161029456"/>
          <c:h val="0.72021366513483853"/>
        </c:manualLayout>
      </c:layout>
      <c:scatterChart>
        <c:scatterStyle val="smoothMarker"/>
        <c:varyColors val="0"/>
        <c:ser>
          <c:idx val="0"/>
          <c:order val="0"/>
          <c:tx>
            <c:v>Q(h)</c:v>
          </c:tx>
          <c:xVal>
            <c:numRef>
              <c:f>Průleh!$A$18:$A$30</c:f>
              <c:numCache>
                <c:formatCode>0.00</c:formatCode>
                <c:ptCount val="13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0.16500000000000001</c:v>
                </c:pt>
                <c:pt idx="4">
                  <c:v>0.2</c:v>
                </c:pt>
                <c:pt idx="5">
                  <c:v>0.248</c:v>
                </c:pt>
                <c:pt idx="6">
                  <c:v>0.27700000000000002</c:v>
                </c:pt>
                <c:pt idx="7">
                  <c:v>0.32500000000000001</c:v>
                </c:pt>
                <c:pt idx="8">
                  <c:v>0.35799999999999998</c:v>
                </c:pt>
                <c:pt idx="9">
                  <c:v>0.5</c:v>
                </c:pt>
                <c:pt idx="10">
                  <c:v>0.6</c:v>
                </c:pt>
                <c:pt idx="11">
                  <c:v>0.7</c:v>
                </c:pt>
                <c:pt idx="12">
                  <c:v>0.8</c:v>
                </c:pt>
              </c:numCache>
            </c:numRef>
          </c:xVal>
          <c:yVal>
            <c:numRef>
              <c:f>Průleh!$G$18:$G$30</c:f>
              <c:numCache>
                <c:formatCode>0.00</c:formatCode>
                <c:ptCount val="13"/>
                <c:pt idx="0">
                  <c:v>0</c:v>
                </c:pt>
                <c:pt idx="1">
                  <c:v>1.1017537864868013E-2</c:v>
                </c:pt>
                <c:pt idx="2">
                  <c:v>4.5485110821443978E-2</c:v>
                </c:pt>
                <c:pt idx="3">
                  <c:v>0.13739763423563878</c:v>
                </c:pt>
                <c:pt idx="4">
                  <c:v>0.21379554439382797</c:v>
                </c:pt>
                <c:pt idx="5">
                  <c:v>0.35422073621188288</c:v>
                </c:pt>
                <c:pt idx="6">
                  <c:v>0.4610473024264074</c:v>
                </c:pt>
                <c:pt idx="7">
                  <c:v>0.67778809497275483</c:v>
                </c:pt>
                <c:pt idx="8">
                  <c:v>0.85782982124095342</c:v>
                </c:pt>
                <c:pt idx="9">
                  <c:v>1.9595565131497437</c:v>
                </c:pt>
                <c:pt idx="10">
                  <c:v>3.0974131851264617</c:v>
                </c:pt>
                <c:pt idx="11">
                  <c:v>4.5766287224885254</c:v>
                </c:pt>
                <c:pt idx="12">
                  <c:v>6.4320837437814413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9DD-4912-9605-C20321C55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73856"/>
        <c:axId val="180949760"/>
      </c:scatterChart>
      <c:scatterChart>
        <c:scatterStyle val="smoothMarker"/>
        <c:varyColors val="0"/>
        <c:ser>
          <c:idx val="1"/>
          <c:order val="1"/>
          <c:tx>
            <c:v>v(h)</c:v>
          </c:tx>
          <c:xVal>
            <c:numRef>
              <c:f>Průleh!$A$18:$A$30</c:f>
              <c:numCache>
                <c:formatCode>0.00</c:formatCode>
                <c:ptCount val="13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0.16500000000000001</c:v>
                </c:pt>
                <c:pt idx="4">
                  <c:v>0.2</c:v>
                </c:pt>
                <c:pt idx="5">
                  <c:v>0.248</c:v>
                </c:pt>
                <c:pt idx="6">
                  <c:v>0.27700000000000002</c:v>
                </c:pt>
                <c:pt idx="7">
                  <c:v>0.32500000000000001</c:v>
                </c:pt>
                <c:pt idx="8">
                  <c:v>0.35799999999999998</c:v>
                </c:pt>
                <c:pt idx="9">
                  <c:v>0.5</c:v>
                </c:pt>
                <c:pt idx="10">
                  <c:v>0.6</c:v>
                </c:pt>
                <c:pt idx="11">
                  <c:v>0.7</c:v>
                </c:pt>
                <c:pt idx="12">
                  <c:v>0.8</c:v>
                </c:pt>
              </c:numCache>
            </c:numRef>
          </c:xVal>
          <c:yVal>
            <c:numRef>
              <c:f>Průleh!$F$18:$F$30</c:f>
              <c:numCache>
                <c:formatCode>0.00</c:formatCode>
                <c:ptCount val="13"/>
                <c:pt idx="0">
                  <c:v>0</c:v>
                </c:pt>
                <c:pt idx="1">
                  <c:v>0.23821703491606511</c:v>
                </c:pt>
                <c:pt idx="2">
                  <c:v>0.34988546785726138</c:v>
                </c:pt>
                <c:pt idx="3">
                  <c:v>0.46585339007633403</c:v>
                </c:pt>
                <c:pt idx="4">
                  <c:v>0.52145254730201951</c:v>
                </c:pt>
                <c:pt idx="5">
                  <c:v>0.59265951046025112</c:v>
                </c:pt>
                <c:pt idx="6">
                  <c:v>0.63346553555858076</c:v>
                </c:pt>
                <c:pt idx="7">
                  <c:v>0.6980759265892551</c:v>
                </c:pt>
                <c:pt idx="8">
                  <c:v>0.74070253014856136</c:v>
                </c:pt>
                <c:pt idx="9">
                  <c:v>0.91142163402313658</c:v>
                </c:pt>
                <c:pt idx="10">
                  <c:v>1.0222485759493274</c:v>
                </c:pt>
                <c:pt idx="11">
                  <c:v>1.1272484538149079</c:v>
                </c:pt>
                <c:pt idx="12">
                  <c:v>1.2274968976682139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9DD-4912-9605-C20321C55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953856"/>
        <c:axId val="180951680"/>
      </c:scatterChart>
      <c:valAx>
        <c:axId val="18087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h [m]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80949760"/>
        <c:crosses val="autoZero"/>
        <c:crossBetween val="midCat"/>
      </c:valAx>
      <c:valAx>
        <c:axId val="180949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Q [m</a:t>
                </a:r>
                <a:r>
                  <a:rPr lang="cs-CZ" baseline="30000"/>
                  <a:t>3</a:t>
                </a:r>
                <a:r>
                  <a:rPr lang="cs-CZ"/>
                  <a:t>/s]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80873856"/>
        <c:crosses val="autoZero"/>
        <c:crossBetween val="midCat"/>
      </c:valAx>
      <c:valAx>
        <c:axId val="18095168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v [m/s]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80953856"/>
        <c:crosses val="max"/>
        <c:crossBetween val="midCat"/>
      </c:valAx>
      <c:valAx>
        <c:axId val="180953856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one"/>
        <c:crossAx val="1809516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99683339177773"/>
          <c:y val="6.5590898159247804E-2"/>
          <c:w val="0.58613578161029456"/>
          <c:h val="0.72021366513483853"/>
        </c:manualLayout>
      </c:layout>
      <c:scatterChart>
        <c:scatterStyle val="smoothMarker"/>
        <c:varyColors val="0"/>
        <c:ser>
          <c:idx val="0"/>
          <c:order val="0"/>
          <c:tx>
            <c:v>Q(h)</c:v>
          </c:tx>
          <c:xVal>
            <c:numRef>
              <c:f>Průleh!$A$56:$A$66</c:f>
              <c:numCache>
                <c:formatCode>0.00</c:formatCode>
                <c:ptCount val="11"/>
                <c:pt idx="0">
                  <c:v>0</c:v>
                </c:pt>
                <c:pt idx="1">
                  <c:v>0.05</c:v>
                </c:pt>
                <c:pt idx="2">
                  <c:v>0.09</c:v>
                </c:pt>
                <c:pt idx="3">
                  <c:v>0.13900000000000001</c:v>
                </c:pt>
                <c:pt idx="4">
                  <c:v>0.157</c:v>
                </c:pt>
                <c:pt idx="5">
                  <c:v>0.186</c:v>
                </c:pt>
                <c:pt idx="6">
                  <c:v>0.20599999999999999</c:v>
                </c:pt>
                <c:pt idx="7">
                  <c:v>0.25</c:v>
                </c:pt>
                <c:pt idx="8">
                  <c:v>0.3</c:v>
                </c:pt>
                <c:pt idx="9">
                  <c:v>0.35</c:v>
                </c:pt>
                <c:pt idx="10">
                  <c:v>0.4</c:v>
                </c:pt>
              </c:numCache>
            </c:numRef>
          </c:xVal>
          <c:yVal>
            <c:numRef>
              <c:f>Průleh!$G$56:$G$66</c:f>
              <c:numCache>
                <c:formatCode>0.00</c:formatCode>
                <c:ptCount val="11"/>
                <c:pt idx="0">
                  <c:v>0</c:v>
                </c:pt>
                <c:pt idx="1">
                  <c:v>4.1223851936144994E-2</c:v>
                </c:pt>
                <c:pt idx="2">
                  <c:v>0.13605446070780139</c:v>
                </c:pt>
                <c:pt idx="3">
                  <c:v>0.3494207198343745</c:v>
                </c:pt>
                <c:pt idx="4">
                  <c:v>0.45929818602953371</c:v>
                </c:pt>
                <c:pt idx="5">
                  <c:v>0.6763266835800551</c:v>
                </c:pt>
                <c:pt idx="6">
                  <c:v>0.85687319425879294</c:v>
                </c:pt>
                <c:pt idx="7">
                  <c:v>1.3508704683106136</c:v>
                </c:pt>
                <c:pt idx="8">
                  <c:v>2.0895977270972845</c:v>
                </c:pt>
                <c:pt idx="9">
                  <c:v>3.0373158483043987</c:v>
                </c:pt>
                <c:pt idx="10">
                  <c:v>4.214193152045528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47-4D73-AD86-B9ADC0EEA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992256"/>
        <c:axId val="180998528"/>
      </c:scatterChart>
      <c:scatterChart>
        <c:scatterStyle val="smoothMarker"/>
        <c:varyColors val="0"/>
        <c:ser>
          <c:idx val="1"/>
          <c:order val="1"/>
          <c:tx>
            <c:v>v(h)</c:v>
          </c:tx>
          <c:xVal>
            <c:numRef>
              <c:f>Průleh!$A$56:$A$66</c:f>
              <c:numCache>
                <c:formatCode>0.00</c:formatCode>
                <c:ptCount val="11"/>
                <c:pt idx="0">
                  <c:v>0</c:v>
                </c:pt>
                <c:pt idx="1">
                  <c:v>0.05</c:v>
                </c:pt>
                <c:pt idx="2">
                  <c:v>0.09</c:v>
                </c:pt>
                <c:pt idx="3">
                  <c:v>0.13900000000000001</c:v>
                </c:pt>
                <c:pt idx="4">
                  <c:v>0.157</c:v>
                </c:pt>
                <c:pt idx="5">
                  <c:v>0.186</c:v>
                </c:pt>
                <c:pt idx="6">
                  <c:v>0.20599999999999999</c:v>
                </c:pt>
                <c:pt idx="7">
                  <c:v>0.25</c:v>
                </c:pt>
                <c:pt idx="8">
                  <c:v>0.3</c:v>
                </c:pt>
                <c:pt idx="9">
                  <c:v>0.35</c:v>
                </c:pt>
                <c:pt idx="10">
                  <c:v>0.4</c:v>
                </c:pt>
              </c:numCache>
            </c:numRef>
          </c:xVal>
          <c:yVal>
            <c:numRef>
              <c:f>Průleh!$F$56:$F$66</c:f>
              <c:numCache>
                <c:formatCode>0.00</c:formatCode>
                <c:ptCount val="11"/>
                <c:pt idx="0">
                  <c:v>0</c:v>
                </c:pt>
                <c:pt idx="1">
                  <c:v>0.89132652834908088</c:v>
                </c:pt>
                <c:pt idx="2">
                  <c:v>1.2340540653768834</c:v>
                </c:pt>
                <c:pt idx="3">
                  <c:v>1.5785357163609748</c:v>
                </c:pt>
                <c:pt idx="4">
                  <c:v>1.6934681059648942</c:v>
                </c:pt>
                <c:pt idx="5">
                  <c:v>1.8694935555188519</c:v>
                </c:pt>
                <c:pt idx="6">
                  <c:v>1.9854790515068079</c:v>
                </c:pt>
                <c:pt idx="7">
                  <c:v>2.2282399477288473</c:v>
                </c:pt>
                <c:pt idx="8">
                  <c:v>2.4876163417824815</c:v>
                </c:pt>
                <c:pt idx="9">
                  <c:v>2.7332426081479406</c:v>
                </c:pt>
                <c:pt idx="10">
                  <c:v>2.9677416563700905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47-4D73-AD86-B9ADC0EEA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010816"/>
        <c:axId val="181000448"/>
      </c:scatterChart>
      <c:valAx>
        <c:axId val="18099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h [m]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80998528"/>
        <c:crosses val="autoZero"/>
        <c:crossBetween val="midCat"/>
      </c:valAx>
      <c:valAx>
        <c:axId val="180998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Q [m</a:t>
                </a:r>
                <a:r>
                  <a:rPr lang="cs-CZ" baseline="30000"/>
                  <a:t>3</a:t>
                </a:r>
                <a:r>
                  <a:rPr lang="cs-CZ"/>
                  <a:t>/s]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80992256"/>
        <c:crosses val="autoZero"/>
        <c:crossBetween val="midCat"/>
      </c:valAx>
      <c:valAx>
        <c:axId val="18100044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v [m/s]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81010816"/>
        <c:crosses val="max"/>
        <c:crossBetween val="midCat"/>
      </c:valAx>
      <c:valAx>
        <c:axId val="181010816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one"/>
        <c:crossAx val="1810004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84</xdr:row>
      <xdr:rowOff>98181</xdr:rowOff>
    </xdr:from>
    <xdr:to>
      <xdr:col>10</xdr:col>
      <xdr:colOff>428625</xdr:colOff>
      <xdr:row>97</xdr:row>
      <xdr:rowOff>104775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118</xdr:row>
      <xdr:rowOff>174380</xdr:rowOff>
    </xdr:from>
    <xdr:to>
      <xdr:col>10</xdr:col>
      <xdr:colOff>438150</xdr:colOff>
      <xdr:row>132</xdr:row>
      <xdr:rowOff>190499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95251</xdr:colOff>
      <xdr:row>275</xdr:row>
      <xdr:rowOff>47625</xdr:rowOff>
    </xdr:from>
    <xdr:to>
      <xdr:col>10</xdr:col>
      <xdr:colOff>390526</xdr:colOff>
      <xdr:row>289</xdr:row>
      <xdr:rowOff>180974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133350</xdr:colOff>
      <xdr:row>310</xdr:row>
      <xdr:rowOff>180975</xdr:rowOff>
    </xdr:from>
    <xdr:to>
      <xdr:col>10</xdr:col>
      <xdr:colOff>428625</xdr:colOff>
      <xdr:row>325</xdr:row>
      <xdr:rowOff>123824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31</xdr:row>
      <xdr:rowOff>47625</xdr:rowOff>
    </xdr:from>
    <xdr:to>
      <xdr:col>10</xdr:col>
      <xdr:colOff>390526</xdr:colOff>
      <xdr:row>45</xdr:row>
      <xdr:rowOff>180974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66</xdr:row>
      <xdr:rowOff>180975</xdr:rowOff>
    </xdr:from>
    <xdr:to>
      <xdr:col>10</xdr:col>
      <xdr:colOff>428625</xdr:colOff>
      <xdr:row>81</xdr:row>
      <xdr:rowOff>123824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18"/>
  <sheetViews>
    <sheetView tabSelected="1" showWhiteSpace="0" topLeftCell="A303" zoomScaleNormal="100" workbookViewId="0">
      <selection activeCell="O495" sqref="O495"/>
    </sheetView>
  </sheetViews>
  <sheetFormatPr defaultRowHeight="15" x14ac:dyDescent="0.25"/>
  <cols>
    <col min="1" max="1" width="9" customWidth="1"/>
    <col min="2" max="2" width="13" customWidth="1"/>
    <col min="3" max="3" width="8.140625" customWidth="1"/>
    <col min="4" max="4" width="6.85546875" customWidth="1"/>
    <col min="5" max="5" width="8.7109375" customWidth="1"/>
    <col min="6" max="6" width="7.42578125" customWidth="1"/>
    <col min="7" max="7" width="7.85546875" customWidth="1"/>
    <col min="8" max="8" width="7.42578125" customWidth="1"/>
    <col min="9" max="9" width="6.85546875" style="160" customWidth="1"/>
    <col min="10" max="10" width="7.5703125" style="160" customWidth="1"/>
    <col min="11" max="11" width="8" hidden="1" customWidth="1"/>
    <col min="12" max="12" width="8" customWidth="1"/>
    <col min="13" max="13" width="9.140625" hidden="1" customWidth="1"/>
    <col min="14" max="14" width="0" hidden="1" customWidth="1"/>
  </cols>
  <sheetData>
    <row r="1" spans="1:12" ht="18.75" x14ac:dyDescent="0.3">
      <c r="A1" s="153" t="s">
        <v>117</v>
      </c>
    </row>
    <row r="2" spans="1:12" ht="15.75" x14ac:dyDescent="0.25">
      <c r="A2" s="20" t="s">
        <v>118</v>
      </c>
    </row>
    <row r="3" spans="1:12" x14ac:dyDescent="0.25">
      <c r="A3" t="s">
        <v>120</v>
      </c>
    </row>
    <row r="4" spans="1:12" x14ac:dyDescent="0.25">
      <c r="A4" t="s">
        <v>119</v>
      </c>
    </row>
    <row r="6" spans="1:12" ht="15.75" x14ac:dyDescent="0.25">
      <c r="A6" s="155" t="s">
        <v>121</v>
      </c>
      <c r="B6" s="156"/>
      <c r="C6" s="156"/>
    </row>
    <row r="7" spans="1:12" x14ac:dyDescent="0.25">
      <c r="A7" s="1"/>
    </row>
    <row r="8" spans="1:12" x14ac:dyDescent="0.25">
      <c r="A8" t="s">
        <v>133</v>
      </c>
    </row>
    <row r="10" spans="1:12" s="17" customFormat="1" ht="15.75" x14ac:dyDescent="0.25">
      <c r="A10" s="155" t="s">
        <v>155</v>
      </c>
      <c r="B10" s="156"/>
      <c r="C10" s="156"/>
      <c r="D10"/>
      <c r="E10"/>
      <c r="F10"/>
      <c r="G10"/>
      <c r="H10"/>
      <c r="I10" s="160"/>
      <c r="J10" s="160"/>
      <c r="K10"/>
      <c r="L10"/>
    </row>
    <row r="11" spans="1:12" s="17" customFormat="1" ht="15.75" thickBot="1" x14ac:dyDescent="0.3">
      <c r="A11" t="s">
        <v>156</v>
      </c>
      <c r="B11"/>
      <c r="C11"/>
      <c r="D11"/>
      <c r="E11"/>
      <c r="F11"/>
      <c r="G11"/>
      <c r="H11"/>
      <c r="I11" s="160"/>
      <c r="J11" s="160"/>
      <c r="K11"/>
      <c r="L11"/>
    </row>
    <row r="12" spans="1:12" s="160" customFormat="1" x14ac:dyDescent="0.25">
      <c r="A12" s="323" t="s">
        <v>20</v>
      </c>
      <c r="B12" s="324">
        <v>2</v>
      </c>
      <c r="C12" s="324">
        <v>10</v>
      </c>
      <c r="D12" s="324">
        <v>20</v>
      </c>
      <c r="E12" s="324">
        <v>50</v>
      </c>
      <c r="F12" s="21">
        <v>100</v>
      </c>
      <c r="G12" s="325"/>
      <c r="H12" s="325"/>
      <c r="K12" s="325"/>
      <c r="L12" s="325"/>
    </row>
    <row r="13" spans="1:12" s="160" customFormat="1" ht="19.5" thickBot="1" x14ac:dyDescent="0.4">
      <c r="A13" s="326" t="s">
        <v>21</v>
      </c>
      <c r="B13" s="80">
        <v>0.14000000000000001</v>
      </c>
      <c r="C13" s="80">
        <v>0.35</v>
      </c>
      <c r="D13" s="80">
        <v>0.46</v>
      </c>
      <c r="E13" s="80">
        <v>0.68</v>
      </c>
      <c r="F13" s="81">
        <v>0.86</v>
      </c>
      <c r="G13" s="325"/>
      <c r="H13" s="325"/>
      <c r="K13" s="325"/>
      <c r="L13" s="325"/>
    </row>
    <row r="14" spans="1:12" s="160" customFormat="1" x14ac:dyDescent="0.25">
      <c r="A14" s="157"/>
      <c r="G14" s="325"/>
      <c r="H14" s="325"/>
      <c r="K14" s="325"/>
      <c r="L14" s="325"/>
    </row>
    <row r="15" spans="1:12" s="17" customFormat="1" x14ac:dyDescent="0.25">
      <c r="A15" s="157" t="s">
        <v>125</v>
      </c>
      <c r="I15" s="160"/>
      <c r="J15" s="160"/>
    </row>
    <row r="16" spans="1:12" s="17" customFormat="1" x14ac:dyDescent="0.25">
      <c r="A16" s="17" t="s">
        <v>13</v>
      </c>
      <c r="B16" s="17">
        <v>1.5</v>
      </c>
      <c r="I16" s="160"/>
      <c r="J16" s="160"/>
    </row>
    <row r="17" spans="1:12" s="17" customFormat="1" x14ac:dyDescent="0.25">
      <c r="A17" s="17" t="s">
        <v>14</v>
      </c>
      <c r="B17" s="17">
        <v>0.3</v>
      </c>
      <c r="C17" s="17" t="s">
        <v>2</v>
      </c>
      <c r="I17" s="160"/>
      <c r="J17" s="160"/>
    </row>
    <row r="18" spans="1:12" s="17" customFormat="1" x14ac:dyDescent="0.25">
      <c r="A18" s="17" t="s">
        <v>15</v>
      </c>
      <c r="B18" s="17">
        <v>3.2000000000000001E-2</v>
      </c>
      <c r="D18" s="17" t="s">
        <v>126</v>
      </c>
      <c r="I18" s="160"/>
      <c r="J18" s="160"/>
    </row>
    <row r="19" spans="1:12" s="17" customFormat="1" x14ac:dyDescent="0.25">
      <c r="A19" s="327" t="s">
        <v>16</v>
      </c>
      <c r="B19" s="327">
        <v>2.15</v>
      </c>
      <c r="C19" s="327" t="s">
        <v>17</v>
      </c>
      <c r="I19" s="160"/>
      <c r="J19" s="160"/>
    </row>
    <row r="20" spans="1:12" s="17" customFormat="1" ht="18" x14ac:dyDescent="0.35">
      <c r="A20" s="16" t="s">
        <v>0</v>
      </c>
      <c r="B20" s="16" t="s">
        <v>3</v>
      </c>
      <c r="C20" s="16" t="s">
        <v>4</v>
      </c>
      <c r="D20" s="16" t="s">
        <v>5</v>
      </c>
      <c r="E20" s="16" t="s">
        <v>6</v>
      </c>
      <c r="F20" s="16" t="s">
        <v>7</v>
      </c>
      <c r="G20" s="328" t="s">
        <v>8</v>
      </c>
      <c r="H20" s="157" t="s">
        <v>9</v>
      </c>
      <c r="I20" s="157" t="s">
        <v>10</v>
      </c>
      <c r="J20" s="157" t="s">
        <v>61</v>
      </c>
      <c r="K20" s="157" t="s">
        <v>124</v>
      </c>
    </row>
    <row r="21" spans="1:12" s="17" customFormat="1" ht="17.25" x14ac:dyDescent="0.25">
      <c r="A21" s="16" t="s">
        <v>1</v>
      </c>
      <c r="B21" s="16" t="s">
        <v>18</v>
      </c>
      <c r="C21" s="16" t="s">
        <v>1</v>
      </c>
      <c r="D21" s="16" t="s">
        <v>1</v>
      </c>
      <c r="E21" s="16" t="s">
        <v>123</v>
      </c>
      <c r="F21" s="16" t="s">
        <v>11</v>
      </c>
      <c r="G21" s="328" t="s">
        <v>19</v>
      </c>
      <c r="H21" s="16"/>
      <c r="I21" s="16" t="s">
        <v>12</v>
      </c>
      <c r="J21" s="16" t="s">
        <v>12</v>
      </c>
    </row>
    <row r="22" spans="1:12" s="17" customFormat="1" x14ac:dyDescent="0.25">
      <c r="A22" s="327">
        <v>0</v>
      </c>
      <c r="B22" s="17">
        <f>($B$63+$B$62*A22)*A22</f>
        <v>0</v>
      </c>
      <c r="C22" s="158">
        <f>$B$63+2*A22*SQRT(1+$B$62^2)</f>
        <v>0.3</v>
      </c>
      <c r="D22" s="17">
        <f>B22/C22</f>
        <v>0</v>
      </c>
      <c r="E22" s="17">
        <f>(1/$B$64)*D22^(1/6)</f>
        <v>0</v>
      </c>
      <c r="F22" s="17">
        <f>E22*SQRT(D22*$B$65/100)</f>
        <v>0</v>
      </c>
      <c r="G22" s="329">
        <f>F22*B22</f>
        <v>0</v>
      </c>
      <c r="H22" s="159" t="s">
        <v>22</v>
      </c>
      <c r="I22" s="17">
        <f t="shared" ref="I22:I38" si="0">98.06*D22*$B$65</f>
        <v>0</v>
      </c>
      <c r="J22" s="158">
        <f t="shared" ref="J22:J38" si="1">(I22*($B$63+2*K22))/(1.13*$B$63+1.33*K22)</f>
        <v>0</v>
      </c>
      <c r="K22" s="158">
        <f t="shared" ref="K22:K38" si="2">A22*SQRT(1+$B$62^2)</f>
        <v>0</v>
      </c>
    </row>
    <row r="23" spans="1:12" s="17" customFormat="1" x14ac:dyDescent="0.25">
      <c r="A23" s="327">
        <v>0.05</v>
      </c>
      <c r="B23" s="158">
        <f t="shared" ref="B23:B33" si="3">($B$63+$B$62*A23)*A23</f>
        <v>1.8750000000000003E-2</v>
      </c>
      <c r="C23" s="158">
        <f>$B$63+2*A23*SQRT(1+$B$62^2)</f>
        <v>0.48027756377319947</v>
      </c>
      <c r="D23" s="158">
        <f t="shared" ref="D23:D33" si="4">B23/C23</f>
        <v>3.9039924856565399E-2</v>
      </c>
      <c r="E23" s="158">
        <f t="shared" ref="E23:E33" si="5">(1/$B$64)*D23^(1/6)</f>
        <v>18.201262669945809</v>
      </c>
      <c r="F23" s="158">
        <f t="shared" ref="F23:F33" si="6">E23*SQRT(D23*$B$65/100)</f>
        <v>0.52732120239857239</v>
      </c>
      <c r="G23" s="330">
        <f t="shared" ref="G23:G33" si="7">F23*B23</f>
        <v>9.887272544973234E-3</v>
      </c>
      <c r="H23" s="158">
        <f>(1.1*F23^2)/(9.81*A23)</f>
        <v>0.62359717746989562</v>
      </c>
      <c r="I23" s="158">
        <f t="shared" si="0"/>
        <v>8.2307483175848262</v>
      </c>
      <c r="J23" s="158">
        <f t="shared" si="1"/>
        <v>8.6144619433112926</v>
      </c>
      <c r="K23" s="158">
        <f t="shared" si="2"/>
        <v>9.0138781886599739E-2</v>
      </c>
    </row>
    <row r="24" spans="1:12" s="17" customFormat="1" ht="18" x14ac:dyDescent="0.35">
      <c r="A24" s="331">
        <v>7.0000000000000007E-2</v>
      </c>
      <c r="B24" s="158">
        <f t="shared" si="3"/>
        <v>2.8350000000000004E-2</v>
      </c>
      <c r="C24" s="158">
        <f t="shared" ref="C24:C33" si="8">$B$63+2*A24*SQRT(1+$B$62^2)</f>
        <v>0.55238858928247925</v>
      </c>
      <c r="D24" s="158">
        <f t="shared" si="4"/>
        <v>5.132256630576857E-2</v>
      </c>
      <c r="E24" s="158">
        <f t="shared" si="5"/>
        <v>19.050282301283637</v>
      </c>
      <c r="F24" s="158">
        <f t="shared" si="6"/>
        <v>0.63281217757414565</v>
      </c>
      <c r="G24" s="330">
        <f t="shared" si="7"/>
        <v>1.7940225234227031E-2</v>
      </c>
      <c r="H24" s="158">
        <f>(1.1*F24^2)/(9.81*A24)</f>
        <v>0.64146843933995223</v>
      </c>
      <c r="I24" s="158">
        <f t="shared" si="0"/>
        <v>10.820285331678882</v>
      </c>
      <c r="J24" s="158">
        <f t="shared" si="1"/>
        <v>11.792717382871645</v>
      </c>
      <c r="K24" s="158">
        <f t="shared" si="2"/>
        <v>0.12619429464123963</v>
      </c>
      <c r="L24" s="16" t="s">
        <v>131</v>
      </c>
    </row>
    <row r="25" spans="1:12" s="17" customFormat="1" x14ac:dyDescent="0.25">
      <c r="A25" s="327">
        <v>0.1</v>
      </c>
      <c r="B25" s="158">
        <f t="shared" si="3"/>
        <v>4.5000000000000005E-2</v>
      </c>
      <c r="C25" s="158">
        <f t="shared" si="8"/>
        <v>0.660555127546399</v>
      </c>
      <c r="D25" s="158">
        <f t="shared" si="4"/>
        <v>6.812451848969879E-2</v>
      </c>
      <c r="E25" s="158">
        <f t="shared" si="5"/>
        <v>19.971036065360501</v>
      </c>
      <c r="F25" s="158">
        <f t="shared" si="6"/>
        <v>0.76431353201172492</v>
      </c>
      <c r="G25" s="330">
        <f t="shared" si="7"/>
        <v>3.4394108940527628E-2</v>
      </c>
      <c r="H25" s="158">
        <f t="shared" ref="H25:H38" si="9">(1.1*F25^2)/(9.81*A25)</f>
        <v>0.65503842277050139</v>
      </c>
      <c r="I25" s="158">
        <f t="shared" si="0"/>
        <v>14.362624108664706</v>
      </c>
      <c r="J25" s="158">
        <f t="shared" si="1"/>
        <v>16.392208947307349</v>
      </c>
      <c r="K25" s="158">
        <f t="shared" si="2"/>
        <v>0.18027756377319948</v>
      </c>
    </row>
    <row r="26" spans="1:12" s="17" customFormat="1" x14ac:dyDescent="0.25">
      <c r="A26" s="327">
        <v>0.2</v>
      </c>
      <c r="B26" s="158">
        <f t="shared" si="3"/>
        <v>0.12000000000000002</v>
      </c>
      <c r="C26" s="158">
        <f t="shared" si="8"/>
        <v>1.021110255092798</v>
      </c>
      <c r="D26" s="158">
        <f t="shared" si="4"/>
        <v>0.11751914095612964</v>
      </c>
      <c r="E26" s="158">
        <f t="shared" si="5"/>
        <v>21.870973936714059</v>
      </c>
      <c r="F26" s="158">
        <f t="shared" si="6"/>
        <v>1.0993643688840864</v>
      </c>
      <c r="G26" s="330">
        <f t="shared" si="7"/>
        <v>0.13192372426609039</v>
      </c>
      <c r="H26" s="158">
        <f t="shared" si="9"/>
        <v>0.67760561525438123</v>
      </c>
      <c r="I26" s="158">
        <f t="shared" si="0"/>
        <v>24.776442968639856</v>
      </c>
      <c r="J26" s="158">
        <f t="shared" si="1"/>
        <v>30.908119257298296</v>
      </c>
      <c r="K26" s="158">
        <f t="shared" si="2"/>
        <v>0.36055512754639896</v>
      </c>
    </row>
    <row r="27" spans="1:12" s="17" customFormat="1" ht="18" x14ac:dyDescent="0.35">
      <c r="A27" s="331">
        <v>0.22500000000000001</v>
      </c>
      <c r="B27" s="158">
        <f t="shared" si="3"/>
        <v>0.1434375</v>
      </c>
      <c r="C27" s="158">
        <f t="shared" si="8"/>
        <v>1.1112490369793975</v>
      </c>
      <c r="D27" s="158">
        <f t="shared" si="4"/>
        <v>0.12907772715816473</v>
      </c>
      <c r="E27" s="158">
        <f t="shared" si="5"/>
        <v>22.215626911719554</v>
      </c>
      <c r="F27" s="158">
        <f t="shared" si="6"/>
        <v>1.17031685019955</v>
      </c>
      <c r="G27" s="330">
        <f t="shared" si="7"/>
        <v>0.16786732320049794</v>
      </c>
      <c r="H27" s="158">
        <f t="shared" si="9"/>
        <v>0.68257138196719702</v>
      </c>
      <c r="I27" s="158">
        <f t="shared" si="0"/>
        <v>27.213328139028715</v>
      </c>
      <c r="J27" s="158">
        <f t="shared" si="1"/>
        <v>34.423963781703833</v>
      </c>
      <c r="K27" s="158">
        <f t="shared" si="2"/>
        <v>0.40562451848969877</v>
      </c>
      <c r="L27" s="16" t="s">
        <v>130</v>
      </c>
    </row>
    <row r="28" spans="1:12" s="17" customFormat="1" x14ac:dyDescent="0.25">
      <c r="A28" s="327">
        <v>0.25</v>
      </c>
      <c r="B28" s="158">
        <f t="shared" si="3"/>
        <v>0.16875000000000001</v>
      </c>
      <c r="C28" s="158">
        <f t="shared" si="8"/>
        <v>1.2013878188659972</v>
      </c>
      <c r="D28" s="158">
        <f t="shared" si="4"/>
        <v>0.14046255284932466</v>
      </c>
      <c r="E28" s="158">
        <f t="shared" si="5"/>
        <v>22.53080875490102</v>
      </c>
      <c r="F28" s="158">
        <f t="shared" si="6"/>
        <v>1.2381586322117497</v>
      </c>
      <c r="G28" s="330">
        <f t="shared" si="7"/>
        <v>0.20893926918573277</v>
      </c>
      <c r="H28" s="158">
        <f t="shared" si="9"/>
        <v>0.68760060280224999</v>
      </c>
      <c r="I28" s="158">
        <f t="shared" si="0"/>
        <v>29.613579554670267</v>
      </c>
      <c r="J28" s="158">
        <f t="shared" si="1"/>
        <v>37.911898534462701</v>
      </c>
      <c r="K28" s="158">
        <f t="shared" si="2"/>
        <v>0.45069390943299864</v>
      </c>
    </row>
    <row r="29" spans="1:12" s="17" customFormat="1" ht="18" x14ac:dyDescent="0.35">
      <c r="A29" s="331">
        <v>0.27500000000000002</v>
      </c>
      <c r="B29" s="158">
        <f t="shared" si="3"/>
        <v>0.19593750000000001</v>
      </c>
      <c r="C29" s="158">
        <f t="shared" si="8"/>
        <v>1.2915266007525972</v>
      </c>
      <c r="D29" s="158">
        <f t="shared" si="4"/>
        <v>0.15170999953529682</v>
      </c>
      <c r="E29" s="158">
        <f t="shared" si="5"/>
        <v>22.821931080457087</v>
      </c>
      <c r="F29" s="158">
        <f t="shared" si="6"/>
        <v>1.3034030201792193</v>
      </c>
      <c r="G29" s="330">
        <f t="shared" si="7"/>
        <v>0.25538552926636582</v>
      </c>
      <c r="H29" s="158">
        <f t="shared" si="9"/>
        <v>0.69270517146271571</v>
      </c>
      <c r="I29" s="158">
        <f t="shared" si="0"/>
        <v>31.984867492027092</v>
      </c>
      <c r="J29" s="158">
        <f t="shared" si="1"/>
        <v>41.376950660878641</v>
      </c>
      <c r="K29" s="158">
        <f t="shared" si="2"/>
        <v>0.49576330037629857</v>
      </c>
      <c r="L29" s="16" t="s">
        <v>129</v>
      </c>
    </row>
    <row r="30" spans="1:12" s="17" customFormat="1" x14ac:dyDescent="0.25">
      <c r="A30" s="327">
        <v>0.3</v>
      </c>
      <c r="B30" s="158">
        <f t="shared" si="3"/>
        <v>0.22499999999999998</v>
      </c>
      <c r="C30" s="158">
        <f t="shared" si="8"/>
        <v>1.3816653826391967</v>
      </c>
      <c r="D30" s="158">
        <f t="shared" si="4"/>
        <v>0.16284695471649932</v>
      </c>
      <c r="E30" s="158">
        <f t="shared" si="5"/>
        <v>23.092979069745102</v>
      </c>
      <c r="F30" s="158">
        <f t="shared" si="6"/>
        <v>1.3664351105043104</v>
      </c>
      <c r="G30" s="330">
        <f t="shared" si="7"/>
        <v>0.30744789986346982</v>
      </c>
      <c r="H30" s="158">
        <f t="shared" si="9"/>
        <v>0.69787951149874949</v>
      </c>
      <c r="I30" s="158">
        <f t="shared" si="0"/>
        <v>34.332860615924837</v>
      </c>
      <c r="J30" s="158">
        <f t="shared" si="1"/>
        <v>44.823008360883541</v>
      </c>
      <c r="K30" s="158">
        <f t="shared" si="2"/>
        <v>0.54083269131959832</v>
      </c>
    </row>
    <row r="31" spans="1:12" s="17" customFormat="1" ht="18" x14ac:dyDescent="0.35">
      <c r="A31" s="332">
        <v>0.33500000000000002</v>
      </c>
      <c r="B31" s="161">
        <f t="shared" si="3"/>
        <v>0.26883750000000001</v>
      </c>
      <c r="C31" s="161">
        <f t="shared" si="8"/>
        <v>1.5078596772804365</v>
      </c>
      <c r="D31" s="161">
        <f t="shared" si="4"/>
        <v>0.17829079459494079</v>
      </c>
      <c r="E31" s="161">
        <f t="shared" si="5"/>
        <v>23.444348854080467</v>
      </c>
      <c r="F31" s="161">
        <f t="shared" si="6"/>
        <v>1.4515161267128058</v>
      </c>
      <c r="G31" s="330">
        <f t="shared" si="7"/>
        <v>0.39022196671515397</v>
      </c>
      <c r="H31" s="161">
        <f t="shared" si="9"/>
        <v>0.70521672150503767</v>
      </c>
      <c r="I31" s="161">
        <f t="shared" si="0"/>
        <v>37.588869933656774</v>
      </c>
      <c r="J31" s="161">
        <f t="shared" si="1"/>
        <v>49.621272215395457</v>
      </c>
      <c r="K31" s="158">
        <f t="shared" si="2"/>
        <v>0.60392983864021821</v>
      </c>
      <c r="L31" s="16" t="s">
        <v>127</v>
      </c>
    </row>
    <row r="32" spans="1:12" s="17" customFormat="1" x14ac:dyDescent="0.25">
      <c r="A32" s="333">
        <v>0.35</v>
      </c>
      <c r="B32" s="161">
        <f t="shared" si="3"/>
        <v>0.28874999999999995</v>
      </c>
      <c r="C32" s="161">
        <f t="shared" si="8"/>
        <v>1.5619429464123962</v>
      </c>
      <c r="D32" s="161">
        <f t="shared" si="4"/>
        <v>0.18486590733882155</v>
      </c>
      <c r="E32" s="161">
        <f t="shared" si="5"/>
        <v>23.586282330731201</v>
      </c>
      <c r="F32" s="161">
        <f t="shared" si="6"/>
        <v>1.4869868780343698</v>
      </c>
      <c r="G32" s="330">
        <f t="shared" si="7"/>
        <v>0.42936746103242418</v>
      </c>
      <c r="H32" s="161">
        <f t="shared" si="9"/>
        <v>0.70838589573060784</v>
      </c>
      <c r="I32" s="161">
        <f t="shared" si="0"/>
        <v>38.975094378336408</v>
      </c>
      <c r="J32" s="161">
        <f t="shared" si="1"/>
        <v>51.669736921202272</v>
      </c>
      <c r="K32" s="158">
        <f t="shared" si="2"/>
        <v>0.63097147320619806</v>
      </c>
    </row>
    <row r="33" spans="1:12" s="17" customFormat="1" ht="18" x14ac:dyDescent="0.35">
      <c r="A33" s="332">
        <v>0.37</v>
      </c>
      <c r="B33" s="161">
        <f t="shared" si="3"/>
        <v>0.31634999999999996</v>
      </c>
      <c r="C33" s="161">
        <f t="shared" si="8"/>
        <v>1.634053971921676</v>
      </c>
      <c r="D33" s="161">
        <f t="shared" si="4"/>
        <v>0.19359825650554666</v>
      </c>
      <c r="E33" s="161">
        <f t="shared" si="5"/>
        <v>23.768417204551</v>
      </c>
      <c r="F33" s="161">
        <f t="shared" si="6"/>
        <v>1.5334520938970957</v>
      </c>
      <c r="G33" s="330">
        <f t="shared" si="7"/>
        <v>0.48510756990434617</v>
      </c>
      <c r="H33" s="161">
        <f t="shared" si="9"/>
        <v>0.71262717489189908</v>
      </c>
      <c r="I33" s="161">
        <f t="shared" si="0"/>
        <v>40.816126820807895</v>
      </c>
      <c r="J33" s="161">
        <f t="shared" si="1"/>
        <v>54.394631684300286</v>
      </c>
      <c r="K33" s="158">
        <f t="shared" si="2"/>
        <v>0.66702698596083798</v>
      </c>
      <c r="L33" s="16" t="s">
        <v>128</v>
      </c>
    </row>
    <row r="34" spans="1:12" s="17" customFormat="1" x14ac:dyDescent="0.25">
      <c r="A34" s="327">
        <v>0.45</v>
      </c>
      <c r="B34" s="158">
        <f>($B$63+$B$62*A34)*A34</f>
        <v>0.43875000000000003</v>
      </c>
      <c r="C34" s="158">
        <f>$B$63+2*A34*SQRT(1+$B$62^2)</f>
        <v>1.9224980739587951</v>
      </c>
      <c r="D34" s="158">
        <f>B34/C34</f>
        <v>0.22821869417873017</v>
      </c>
      <c r="E34" s="158">
        <f>(1/$B$64)*D34^(1/6)</f>
        <v>24.429161335424563</v>
      </c>
      <c r="F34" s="158">
        <f>E34*SQRT(D34*$B$65/100)</f>
        <v>1.7112103396160185</v>
      </c>
      <c r="G34" s="330">
        <f>F34*B34</f>
        <v>0.75079353650652814</v>
      </c>
      <c r="H34" s="158">
        <f t="shared" si="9"/>
        <v>0.72965565954233702</v>
      </c>
      <c r="I34" s="158">
        <f t="shared" si="0"/>
        <v>48.115119075007506</v>
      </c>
      <c r="J34" s="158">
        <f t="shared" si="1"/>
        <v>65.235369274290505</v>
      </c>
      <c r="K34" s="158">
        <f t="shared" si="2"/>
        <v>0.81124903697939754</v>
      </c>
    </row>
    <row r="35" spans="1:12" s="17" customFormat="1" x14ac:dyDescent="0.25">
      <c r="A35" s="327">
        <v>0.5</v>
      </c>
      <c r="B35" s="158">
        <f t="shared" ref="B35:B38" si="10">($B$63+$B$62*A35)*A35</f>
        <v>0.52500000000000002</v>
      </c>
      <c r="C35" s="158">
        <f t="shared" ref="C35:C38" si="11">$B$63+2*A35*SQRT(1+$B$62^2)</f>
        <v>2.1027756377319946</v>
      </c>
      <c r="D35" s="158">
        <f t="shared" ref="D35:D38" si="12">B35/C35</f>
        <v>0.24967000310420798</v>
      </c>
      <c r="E35" s="158">
        <f t="shared" ref="E35:E38" si="13">(1/$B$64)*D35^(1/6)</f>
        <v>24.797681793669582</v>
      </c>
      <c r="F35" s="158">
        <f t="shared" ref="F35:F38" si="14">E35*SQRT(D35*$B$65/100)</f>
        <v>1.8168266684207597</v>
      </c>
      <c r="G35" s="330">
        <f t="shared" ref="G35:G38" si="15">F35*B35</f>
        <v>0.95383400092089887</v>
      </c>
      <c r="H35" s="158">
        <f t="shared" si="9"/>
        <v>0.74025383433096126</v>
      </c>
      <c r="I35" s="158">
        <f t="shared" si="0"/>
        <v>52.63767708445706</v>
      </c>
      <c r="J35" s="158">
        <f t="shared" si="1"/>
        <v>71.974202527567229</v>
      </c>
      <c r="K35" s="158">
        <f t="shared" si="2"/>
        <v>0.90138781886599728</v>
      </c>
    </row>
    <row r="36" spans="1:12" s="17" customFormat="1" x14ac:dyDescent="0.25">
      <c r="A36" s="327">
        <v>0.6</v>
      </c>
      <c r="B36" s="158">
        <f t="shared" si="10"/>
        <v>0.72</v>
      </c>
      <c r="C36" s="158">
        <f t="shared" si="11"/>
        <v>2.4633307652783931</v>
      </c>
      <c r="D36" s="158">
        <f t="shared" si="12"/>
        <v>0.29228717886719902</v>
      </c>
      <c r="E36" s="158">
        <f t="shared" si="13"/>
        <v>25.457650267414781</v>
      </c>
      <c r="F36" s="158">
        <f t="shared" si="14"/>
        <v>2.0180988208374138</v>
      </c>
      <c r="G36" s="330">
        <f t="shared" si="15"/>
        <v>1.4530311510029379</v>
      </c>
      <c r="H36" s="158">
        <f t="shared" si="9"/>
        <v>0.76112727416444048</v>
      </c>
      <c r="I36" s="158">
        <f t="shared" si="0"/>
        <v>61.622613633392703</v>
      </c>
      <c r="J36" s="158">
        <f t="shared" si="1"/>
        <v>85.393565822076425</v>
      </c>
      <c r="K36" s="158">
        <f t="shared" si="2"/>
        <v>1.0816653826391966</v>
      </c>
    </row>
    <row r="37" spans="1:12" s="17" customFormat="1" x14ac:dyDescent="0.25">
      <c r="A37" s="327">
        <v>0.7</v>
      </c>
      <c r="B37" s="158">
        <f t="shared" si="10"/>
        <v>0.94499999999999984</v>
      </c>
      <c r="C37" s="158">
        <f t="shared" si="11"/>
        <v>2.8238858928247921</v>
      </c>
      <c r="D37" s="158">
        <f t="shared" si="12"/>
        <v>0.3346452497960874</v>
      </c>
      <c r="E37" s="158">
        <f t="shared" si="13"/>
        <v>26.038390295896917</v>
      </c>
      <c r="F37" s="158">
        <f t="shared" si="14"/>
        <v>2.2086438725982198</v>
      </c>
      <c r="G37" s="330">
        <f t="shared" si="15"/>
        <v>2.0871684596053175</v>
      </c>
      <c r="H37" s="158">
        <f t="shared" si="9"/>
        <v>0.78140651398896577</v>
      </c>
      <c r="I37" s="158">
        <f t="shared" si="0"/>
        <v>70.552923369259304</v>
      </c>
      <c r="J37" s="158">
        <f t="shared" si="1"/>
        <v>98.758289584222766</v>
      </c>
      <c r="K37" s="158">
        <f t="shared" si="2"/>
        <v>1.2619429464123961</v>
      </c>
    </row>
    <row r="38" spans="1:12" s="17" customFormat="1" x14ac:dyDescent="0.25">
      <c r="A38" s="327">
        <v>0.8</v>
      </c>
      <c r="B38" s="158">
        <f t="shared" si="10"/>
        <v>1.2000000000000002</v>
      </c>
      <c r="C38" s="158">
        <f t="shared" si="11"/>
        <v>3.1844410203711915</v>
      </c>
      <c r="D38" s="158">
        <f t="shared" si="12"/>
        <v>0.37683222654257958</v>
      </c>
      <c r="E38" s="158">
        <f t="shared" si="13"/>
        <v>26.558774268461622</v>
      </c>
      <c r="F38" s="158">
        <f t="shared" si="14"/>
        <v>2.3905689585396575</v>
      </c>
      <c r="G38" s="330">
        <f t="shared" si="15"/>
        <v>2.8686827502475896</v>
      </c>
      <c r="H38" s="158">
        <f t="shared" si="9"/>
        <v>0.80100687309973506</v>
      </c>
      <c r="I38" s="158">
        <f t="shared" si="0"/>
        <v>79.447161489745511</v>
      </c>
      <c r="J38" s="158">
        <f t="shared" si="1"/>
        <v>112.08578628868233</v>
      </c>
      <c r="K38" s="158">
        <f t="shared" si="2"/>
        <v>1.4422205101855958</v>
      </c>
    </row>
    <row r="39" spans="1:12" s="17" customFormat="1" x14ac:dyDescent="0.25"/>
    <row r="40" spans="1:12" s="17" customFormat="1" x14ac:dyDescent="0.25">
      <c r="A40"/>
      <c r="B40"/>
      <c r="C40"/>
      <c r="D40"/>
      <c r="E40"/>
      <c r="F40"/>
      <c r="G40"/>
      <c r="H40"/>
      <c r="I40" s="160"/>
      <c r="J40" s="160"/>
      <c r="K40"/>
      <c r="L40"/>
    </row>
    <row r="41" spans="1:12" s="17" customFormat="1" x14ac:dyDescent="0.25">
      <c r="A41"/>
      <c r="B41"/>
      <c r="C41"/>
      <c r="D41"/>
      <c r="E41"/>
      <c r="F41"/>
      <c r="G41"/>
      <c r="H41"/>
      <c r="I41" s="160"/>
      <c r="J41" s="160"/>
      <c r="K41"/>
      <c r="L41"/>
    </row>
    <row r="42" spans="1:12" s="17" customFormat="1" x14ac:dyDescent="0.25">
      <c r="A42"/>
      <c r="B42"/>
      <c r="C42"/>
      <c r="D42"/>
      <c r="E42"/>
      <c r="F42"/>
      <c r="G42"/>
      <c r="H42"/>
      <c r="I42" s="160"/>
      <c r="J42" s="160"/>
      <c r="K42"/>
      <c r="L42"/>
    </row>
    <row r="43" spans="1:12" s="17" customFormat="1" x14ac:dyDescent="0.25">
      <c r="A43"/>
      <c r="B43"/>
      <c r="C43"/>
      <c r="D43"/>
      <c r="E43"/>
      <c r="F43"/>
      <c r="G43"/>
      <c r="H43"/>
      <c r="I43" s="160"/>
      <c r="J43" s="160"/>
      <c r="K43"/>
      <c r="L43"/>
    </row>
    <row r="44" spans="1:12" s="17" customFormat="1" x14ac:dyDescent="0.25">
      <c r="A44"/>
      <c r="B44"/>
      <c r="C44"/>
      <c r="D44"/>
      <c r="E44"/>
      <c r="F44"/>
      <c r="G44"/>
      <c r="H44"/>
      <c r="I44" s="160"/>
      <c r="J44" s="160"/>
      <c r="K44"/>
      <c r="L44"/>
    </row>
    <row r="45" spans="1:12" s="17" customFormat="1" x14ac:dyDescent="0.25">
      <c r="A45"/>
      <c r="B45"/>
      <c r="C45"/>
      <c r="D45"/>
      <c r="E45"/>
      <c r="F45"/>
      <c r="G45"/>
      <c r="H45"/>
      <c r="I45" s="160"/>
      <c r="J45" s="160"/>
      <c r="K45"/>
      <c r="L45"/>
    </row>
    <row r="46" spans="1:12" s="17" customFormat="1" x14ac:dyDescent="0.25">
      <c r="A46"/>
      <c r="B46"/>
      <c r="C46"/>
      <c r="D46"/>
      <c r="E46"/>
      <c r="F46"/>
      <c r="G46"/>
      <c r="H46"/>
      <c r="I46" s="160"/>
      <c r="J46" s="160"/>
      <c r="K46"/>
      <c r="L46"/>
    </row>
    <row r="47" spans="1:12" s="17" customFormat="1" x14ac:dyDescent="0.25">
      <c r="A47"/>
      <c r="B47"/>
      <c r="C47"/>
      <c r="D47"/>
      <c r="E47"/>
      <c r="F47"/>
      <c r="G47"/>
      <c r="H47"/>
      <c r="I47" s="160"/>
      <c r="J47" s="160"/>
      <c r="K47"/>
      <c r="L47"/>
    </row>
    <row r="48" spans="1:12" s="17" customFormat="1" x14ac:dyDescent="0.25">
      <c r="A48"/>
      <c r="B48"/>
      <c r="C48"/>
      <c r="D48"/>
      <c r="E48"/>
      <c r="F48"/>
      <c r="G48"/>
      <c r="H48"/>
      <c r="I48" s="160"/>
      <c r="J48" s="160"/>
      <c r="K48"/>
      <c r="L48"/>
    </row>
    <row r="49" spans="1:12" s="17" customFormat="1" x14ac:dyDescent="0.25">
      <c r="A49"/>
      <c r="B49"/>
      <c r="C49"/>
      <c r="D49"/>
      <c r="E49"/>
      <c r="F49"/>
      <c r="G49"/>
      <c r="H49"/>
      <c r="I49" s="160"/>
      <c r="J49" s="160"/>
      <c r="K49"/>
      <c r="L49"/>
    </row>
    <row r="50" spans="1:12" s="17" customFormat="1" x14ac:dyDescent="0.25">
      <c r="A50"/>
      <c r="B50"/>
      <c r="C50"/>
      <c r="D50"/>
      <c r="E50"/>
      <c r="F50"/>
      <c r="G50"/>
      <c r="H50"/>
      <c r="I50" s="160"/>
      <c r="J50" s="160"/>
      <c r="K50"/>
      <c r="L50"/>
    </row>
    <row r="51" spans="1:12" s="17" customFormat="1" x14ac:dyDescent="0.25">
      <c r="A51"/>
      <c r="B51"/>
      <c r="C51"/>
      <c r="D51"/>
      <c r="E51"/>
      <c r="F51"/>
      <c r="G51"/>
      <c r="H51"/>
      <c r="I51" s="160"/>
      <c r="J51" s="160"/>
      <c r="K51"/>
      <c r="L51"/>
    </row>
    <row r="52" spans="1:12" s="17" customFormat="1" x14ac:dyDescent="0.25">
      <c r="A52"/>
      <c r="B52"/>
      <c r="C52"/>
      <c r="D52"/>
      <c r="E52"/>
      <c r="F52"/>
      <c r="G52"/>
      <c r="H52"/>
      <c r="I52" s="160"/>
      <c r="J52" s="160"/>
      <c r="K52"/>
      <c r="L52"/>
    </row>
    <row r="53" spans="1:12" x14ac:dyDescent="0.25">
      <c r="A53" t="s">
        <v>119</v>
      </c>
    </row>
    <row r="56" spans="1:12" ht="15.75" x14ac:dyDescent="0.25">
      <c r="A56" s="155" t="s">
        <v>122</v>
      </c>
      <c r="B56" s="156"/>
      <c r="C56" s="156"/>
    </row>
    <row r="57" spans="1:12" ht="15.75" thickBot="1" x14ac:dyDescent="0.3"/>
    <row r="58" spans="1:12" x14ac:dyDescent="0.25">
      <c r="A58" s="14" t="s">
        <v>20</v>
      </c>
      <c r="B58" s="4">
        <v>2</v>
      </c>
      <c r="C58" s="4">
        <v>10</v>
      </c>
      <c r="D58" s="4">
        <v>20</v>
      </c>
      <c r="E58" s="4">
        <v>50</v>
      </c>
      <c r="F58" s="15">
        <v>100</v>
      </c>
    </row>
    <row r="59" spans="1:12" ht="19.5" thickBot="1" x14ac:dyDescent="0.4">
      <c r="A59" s="10" t="s">
        <v>21</v>
      </c>
      <c r="B59" s="8">
        <v>0.02</v>
      </c>
      <c r="C59" s="8">
        <v>0.17</v>
      </c>
      <c r="D59" s="8">
        <v>0.26</v>
      </c>
      <c r="E59" s="8">
        <v>0.39</v>
      </c>
      <c r="F59" s="9">
        <v>0.49</v>
      </c>
    </row>
    <row r="60" spans="1:12" x14ac:dyDescent="0.25">
      <c r="A60" s="16"/>
      <c r="B60" s="17"/>
      <c r="C60" s="17"/>
      <c r="D60" s="17"/>
      <c r="E60" s="17"/>
      <c r="F60" s="17"/>
    </row>
    <row r="61" spans="1:12" ht="15.75" thickBot="1" x14ac:dyDescent="0.3">
      <c r="A61" s="157" t="s">
        <v>125</v>
      </c>
    </row>
    <row r="62" spans="1:12" x14ac:dyDescent="0.25">
      <c r="A62" s="11" t="s">
        <v>13</v>
      </c>
      <c r="B62" s="12">
        <v>1.5</v>
      </c>
      <c r="C62" s="13"/>
    </row>
    <row r="63" spans="1:12" x14ac:dyDescent="0.25">
      <c r="A63" s="5" t="s">
        <v>14</v>
      </c>
      <c r="B63" s="2">
        <v>0.3</v>
      </c>
      <c r="C63" s="6" t="s">
        <v>2</v>
      </c>
    </row>
    <row r="64" spans="1:12" x14ac:dyDescent="0.25">
      <c r="A64" s="5" t="s">
        <v>15</v>
      </c>
      <c r="B64" s="2">
        <v>3.2000000000000001E-2</v>
      </c>
      <c r="C64" s="6"/>
      <c r="D64" t="s">
        <v>126</v>
      </c>
    </row>
    <row r="65" spans="1:12" ht="15.75" thickBot="1" x14ac:dyDescent="0.3">
      <c r="A65" s="177" t="s">
        <v>16</v>
      </c>
      <c r="B65" s="178">
        <v>2.15</v>
      </c>
      <c r="C65" s="179" t="s">
        <v>17</v>
      </c>
    </row>
    <row r="66" spans="1:12" ht="18" x14ac:dyDescent="0.35">
      <c r="A66" s="14" t="s">
        <v>0</v>
      </c>
      <c r="B66" s="4" t="s">
        <v>3</v>
      </c>
      <c r="C66" s="4" t="s">
        <v>4</v>
      </c>
      <c r="D66" s="4" t="s">
        <v>5</v>
      </c>
      <c r="E66" s="4" t="s">
        <v>6</v>
      </c>
      <c r="F66" s="4" t="s">
        <v>7</v>
      </c>
      <c r="G66" s="169" t="s">
        <v>8</v>
      </c>
      <c r="H66" s="216" t="s">
        <v>9</v>
      </c>
      <c r="I66" s="211" t="s">
        <v>10</v>
      </c>
      <c r="J66" s="21" t="s">
        <v>61</v>
      </c>
      <c r="K66" s="157" t="s">
        <v>124</v>
      </c>
    </row>
    <row r="67" spans="1:12" ht="18" thickBot="1" x14ac:dyDescent="0.3">
      <c r="A67" s="141" t="s">
        <v>1</v>
      </c>
      <c r="B67" s="142" t="s">
        <v>18</v>
      </c>
      <c r="C67" s="142" t="s">
        <v>1</v>
      </c>
      <c r="D67" s="142" t="s">
        <v>1</v>
      </c>
      <c r="E67" s="142" t="s">
        <v>123</v>
      </c>
      <c r="F67" s="142" t="s">
        <v>11</v>
      </c>
      <c r="G67" s="170" t="s">
        <v>19</v>
      </c>
      <c r="H67" s="217"/>
      <c r="I67" s="212" t="s">
        <v>12</v>
      </c>
      <c r="J67" s="143" t="s">
        <v>12</v>
      </c>
    </row>
    <row r="68" spans="1:12" x14ac:dyDescent="0.25">
      <c r="A68" s="173">
        <v>0</v>
      </c>
      <c r="B68" s="12">
        <f>($B$63+$B$62*A68)*A68</f>
        <v>0</v>
      </c>
      <c r="C68" s="144">
        <f>$B$63+2*A68*SQRT(1+$B$62^2)</f>
        <v>0.3</v>
      </c>
      <c r="D68" s="12">
        <f>B68/C68</f>
        <v>0</v>
      </c>
      <c r="E68" s="12">
        <f>(1/$B$64)*D68^(1/6)</f>
        <v>0</v>
      </c>
      <c r="F68" s="12">
        <f>E68*SQRT(D68*$B$65/100)</f>
        <v>0</v>
      </c>
      <c r="G68" s="171">
        <f>F68*B68</f>
        <v>0</v>
      </c>
      <c r="H68" s="218" t="s">
        <v>22</v>
      </c>
      <c r="I68" s="223">
        <f t="shared" ref="I68:I84" si="16">98.06*D68*$B$65</f>
        <v>0</v>
      </c>
      <c r="J68" s="164">
        <f t="shared" ref="J68:J84" si="17">(I68*($B$63+2*K68))/(1.13*$B$63+1.33*K68)</f>
        <v>0</v>
      </c>
      <c r="K68" s="165">
        <f t="shared" ref="K68:K84" si="18">A68*SQRT(1+$B$62^2)</f>
        <v>0</v>
      </c>
    </row>
    <row r="69" spans="1:12" x14ac:dyDescent="0.25">
      <c r="A69" s="174">
        <v>0.05</v>
      </c>
      <c r="B69" s="3">
        <f t="shared" ref="B69:B84" si="19">($B$63+$B$62*A69)*A69</f>
        <v>1.8750000000000003E-2</v>
      </c>
      <c r="C69" s="3">
        <f t="shared" ref="C69:C79" si="20">$B$63+2*A69*SQRT(1+$B$62^2)</f>
        <v>0.48027756377319947</v>
      </c>
      <c r="D69" s="3">
        <f t="shared" ref="D69:D79" si="21">B69/C69</f>
        <v>3.9039924856565399E-2</v>
      </c>
      <c r="E69" s="3">
        <f t="shared" ref="E69:E84" si="22">(1/$B$64)*D69^(1/6)</f>
        <v>18.201262669945809</v>
      </c>
      <c r="F69" s="3">
        <f t="shared" ref="F69:F79" si="23">E69*SQRT(D69*$B$65/100)</f>
        <v>0.52732120239857239</v>
      </c>
      <c r="G69" s="152">
        <f t="shared" ref="G69:G79" si="24">F69*B69</f>
        <v>9.887272544973234E-3</v>
      </c>
      <c r="H69" s="219">
        <f>(1.1*F69^2)/(9.81*A69)</f>
        <v>0.62359717746989562</v>
      </c>
      <c r="I69" s="213">
        <f t="shared" si="16"/>
        <v>8.2307483175848262</v>
      </c>
      <c r="J69" s="18">
        <f t="shared" si="17"/>
        <v>8.6144619433112926</v>
      </c>
      <c r="K69" s="166">
        <f t="shared" si="18"/>
        <v>9.0138781886599739E-2</v>
      </c>
    </row>
    <row r="70" spans="1:12" ht="18" x14ac:dyDescent="0.35">
      <c r="A70" s="181">
        <v>7.0000000000000007E-2</v>
      </c>
      <c r="B70" s="3">
        <f t="shared" ref="B70" si="25">($B$63+$B$62*A70)*A70</f>
        <v>2.8350000000000004E-2</v>
      </c>
      <c r="C70" s="3">
        <f t="shared" ref="C70" si="26">$B$63+2*A70*SQRT(1+$B$62^2)</f>
        <v>0.55238858928247925</v>
      </c>
      <c r="D70" s="3">
        <f t="shared" ref="D70" si="27">B70/C70</f>
        <v>5.132256630576857E-2</v>
      </c>
      <c r="E70" s="3">
        <f t="shared" ref="E70" si="28">(1/$B$64)*D70^(1/6)</f>
        <v>19.050282301283637</v>
      </c>
      <c r="F70" s="3">
        <f t="shared" ref="F70" si="29">E70*SQRT(D70*$B$65/100)</f>
        <v>0.63281217757414565</v>
      </c>
      <c r="G70" s="152">
        <f t="shared" ref="G70" si="30">F70*B70</f>
        <v>1.7940225234227031E-2</v>
      </c>
      <c r="H70" s="219">
        <f>(1.1*F70^2)/(9.81*A70)</f>
        <v>0.64146843933995223</v>
      </c>
      <c r="I70" s="213">
        <f t="shared" si="16"/>
        <v>10.820285331678882</v>
      </c>
      <c r="J70" s="18">
        <f t="shared" si="17"/>
        <v>11.792717382871645</v>
      </c>
      <c r="K70" s="166">
        <f t="shared" si="18"/>
        <v>0.12619429464123963</v>
      </c>
      <c r="L70" s="1" t="s">
        <v>131</v>
      </c>
    </row>
    <row r="71" spans="1:12" x14ac:dyDescent="0.25">
      <c r="A71" s="174">
        <v>0.1</v>
      </c>
      <c r="B71" s="3">
        <f t="shared" si="19"/>
        <v>4.5000000000000005E-2</v>
      </c>
      <c r="C71" s="3">
        <f t="shared" si="20"/>
        <v>0.660555127546399</v>
      </c>
      <c r="D71" s="3">
        <f t="shared" si="21"/>
        <v>6.812451848969879E-2</v>
      </c>
      <c r="E71" s="3">
        <f t="shared" si="22"/>
        <v>19.971036065360501</v>
      </c>
      <c r="F71" s="3">
        <f t="shared" si="23"/>
        <v>0.76431353201172492</v>
      </c>
      <c r="G71" s="152">
        <f t="shared" si="24"/>
        <v>3.4394108940527628E-2</v>
      </c>
      <c r="H71" s="219">
        <f t="shared" ref="H71:H84" si="31">(1.1*F71^2)/(9.81*A71)</f>
        <v>0.65503842277050139</v>
      </c>
      <c r="I71" s="213">
        <f t="shared" si="16"/>
        <v>14.362624108664706</v>
      </c>
      <c r="J71" s="18">
        <f t="shared" si="17"/>
        <v>16.392208947307349</v>
      </c>
      <c r="K71" s="166">
        <f t="shared" si="18"/>
        <v>0.18027756377319948</v>
      </c>
    </row>
    <row r="72" spans="1:12" x14ac:dyDescent="0.25">
      <c r="A72" s="174">
        <v>0.2</v>
      </c>
      <c r="B72" s="3">
        <f t="shared" si="19"/>
        <v>0.12000000000000002</v>
      </c>
      <c r="C72" s="3">
        <f t="shared" si="20"/>
        <v>1.021110255092798</v>
      </c>
      <c r="D72" s="3">
        <f t="shared" si="21"/>
        <v>0.11751914095612964</v>
      </c>
      <c r="E72" s="3">
        <f t="shared" si="22"/>
        <v>21.870973936714059</v>
      </c>
      <c r="F72" s="3">
        <f t="shared" si="23"/>
        <v>1.0993643688840864</v>
      </c>
      <c r="G72" s="152">
        <f t="shared" si="24"/>
        <v>0.13192372426609039</v>
      </c>
      <c r="H72" s="219">
        <f t="shared" si="31"/>
        <v>0.67760561525438123</v>
      </c>
      <c r="I72" s="213">
        <f t="shared" si="16"/>
        <v>24.776442968639856</v>
      </c>
      <c r="J72" s="18">
        <f t="shared" si="17"/>
        <v>30.908119257298296</v>
      </c>
      <c r="K72" s="166">
        <f t="shared" si="18"/>
        <v>0.36055512754639896</v>
      </c>
    </row>
    <row r="73" spans="1:12" ht="18" x14ac:dyDescent="0.35">
      <c r="A73" s="181">
        <v>0.22500000000000001</v>
      </c>
      <c r="B73" s="3">
        <f t="shared" si="19"/>
        <v>0.1434375</v>
      </c>
      <c r="C73" s="3">
        <f t="shared" si="20"/>
        <v>1.1112490369793975</v>
      </c>
      <c r="D73" s="3">
        <f t="shared" si="21"/>
        <v>0.12907772715816473</v>
      </c>
      <c r="E73" s="3">
        <f t="shared" si="22"/>
        <v>22.215626911719554</v>
      </c>
      <c r="F73" s="3">
        <f t="shared" si="23"/>
        <v>1.17031685019955</v>
      </c>
      <c r="G73" s="152">
        <f t="shared" si="24"/>
        <v>0.16786732320049794</v>
      </c>
      <c r="H73" s="219">
        <f t="shared" si="31"/>
        <v>0.68257138196719702</v>
      </c>
      <c r="I73" s="213">
        <f t="shared" si="16"/>
        <v>27.213328139028715</v>
      </c>
      <c r="J73" s="18">
        <f t="shared" si="17"/>
        <v>34.423963781703833</v>
      </c>
      <c r="K73" s="166">
        <f t="shared" si="18"/>
        <v>0.40562451848969877</v>
      </c>
      <c r="L73" s="1" t="s">
        <v>130</v>
      </c>
    </row>
    <row r="74" spans="1:12" x14ac:dyDescent="0.25">
      <c r="A74" s="174">
        <v>0.25</v>
      </c>
      <c r="B74" s="3">
        <f t="shared" si="19"/>
        <v>0.16875000000000001</v>
      </c>
      <c r="C74" s="3">
        <f t="shared" si="20"/>
        <v>1.2013878188659972</v>
      </c>
      <c r="D74" s="3">
        <f t="shared" si="21"/>
        <v>0.14046255284932466</v>
      </c>
      <c r="E74" s="3">
        <f t="shared" si="22"/>
        <v>22.53080875490102</v>
      </c>
      <c r="F74" s="3">
        <f t="shared" si="23"/>
        <v>1.2381586322117497</v>
      </c>
      <c r="G74" s="152">
        <f t="shared" si="24"/>
        <v>0.20893926918573277</v>
      </c>
      <c r="H74" s="219">
        <f t="shared" si="31"/>
        <v>0.68760060280224999</v>
      </c>
      <c r="I74" s="213">
        <f t="shared" si="16"/>
        <v>29.613579554670267</v>
      </c>
      <c r="J74" s="18">
        <f t="shared" si="17"/>
        <v>37.911898534462701</v>
      </c>
      <c r="K74" s="166">
        <f t="shared" si="18"/>
        <v>0.45069390943299864</v>
      </c>
    </row>
    <row r="75" spans="1:12" ht="18" x14ac:dyDescent="0.35">
      <c r="A75" s="181">
        <v>0.27500000000000002</v>
      </c>
      <c r="B75" s="3">
        <f t="shared" si="19"/>
        <v>0.19593750000000001</v>
      </c>
      <c r="C75" s="3">
        <f t="shared" si="20"/>
        <v>1.2915266007525972</v>
      </c>
      <c r="D75" s="3">
        <f t="shared" si="21"/>
        <v>0.15170999953529682</v>
      </c>
      <c r="E75" s="3">
        <f t="shared" si="22"/>
        <v>22.821931080457087</v>
      </c>
      <c r="F75" s="3">
        <f t="shared" si="23"/>
        <v>1.3034030201792193</v>
      </c>
      <c r="G75" s="152">
        <f t="shared" si="24"/>
        <v>0.25538552926636582</v>
      </c>
      <c r="H75" s="219">
        <f t="shared" si="31"/>
        <v>0.69270517146271571</v>
      </c>
      <c r="I75" s="213">
        <f t="shared" si="16"/>
        <v>31.984867492027092</v>
      </c>
      <c r="J75" s="18">
        <f t="shared" si="17"/>
        <v>41.376950660878641</v>
      </c>
      <c r="K75" s="166">
        <f t="shared" si="18"/>
        <v>0.49576330037629857</v>
      </c>
      <c r="L75" s="1" t="s">
        <v>129</v>
      </c>
    </row>
    <row r="76" spans="1:12" x14ac:dyDescent="0.25">
      <c r="A76" s="174">
        <v>0.3</v>
      </c>
      <c r="B76" s="3">
        <f t="shared" si="19"/>
        <v>0.22499999999999998</v>
      </c>
      <c r="C76" s="3">
        <f t="shared" si="20"/>
        <v>1.3816653826391967</v>
      </c>
      <c r="D76" s="3">
        <f t="shared" si="21"/>
        <v>0.16284695471649932</v>
      </c>
      <c r="E76" s="3">
        <f t="shared" si="22"/>
        <v>23.092979069745102</v>
      </c>
      <c r="F76" s="3">
        <f t="shared" si="23"/>
        <v>1.3664351105043104</v>
      </c>
      <c r="G76" s="152">
        <f t="shared" si="24"/>
        <v>0.30744789986346982</v>
      </c>
      <c r="H76" s="219">
        <f t="shared" si="31"/>
        <v>0.69787951149874949</v>
      </c>
      <c r="I76" s="213">
        <f t="shared" si="16"/>
        <v>34.332860615924837</v>
      </c>
      <c r="J76" s="18">
        <f t="shared" si="17"/>
        <v>44.823008360883541</v>
      </c>
      <c r="K76" s="166">
        <f t="shared" si="18"/>
        <v>0.54083269131959832</v>
      </c>
    </row>
    <row r="77" spans="1:12" ht="18" x14ac:dyDescent="0.35">
      <c r="A77" s="180">
        <v>0.33500000000000002</v>
      </c>
      <c r="B77" s="162">
        <f t="shared" ref="B77" si="32">($B$63+$B$62*A77)*A77</f>
        <v>0.26883750000000001</v>
      </c>
      <c r="C77" s="162">
        <f t="shared" ref="C77" si="33">$B$63+2*A77*SQRT(1+$B$62^2)</f>
        <v>1.5078596772804365</v>
      </c>
      <c r="D77" s="162">
        <f t="shared" ref="D77" si="34">B77/C77</f>
        <v>0.17829079459494079</v>
      </c>
      <c r="E77" s="162">
        <f t="shared" ref="E77" si="35">(1/$B$64)*D77^(1/6)</f>
        <v>23.444348854080467</v>
      </c>
      <c r="F77" s="162">
        <f t="shared" ref="F77" si="36">E77*SQRT(D77*$B$65/100)</f>
        <v>1.4515161267128058</v>
      </c>
      <c r="G77" s="152">
        <f t="shared" ref="G77" si="37">F77*B77</f>
        <v>0.39022196671515397</v>
      </c>
      <c r="H77" s="220">
        <f t="shared" ref="H77" si="38">(1.1*F77^2)/(9.81*A77)</f>
        <v>0.70521672150503767</v>
      </c>
      <c r="I77" s="214">
        <f t="shared" si="16"/>
        <v>37.588869933656774</v>
      </c>
      <c r="J77" s="163">
        <f t="shared" si="17"/>
        <v>49.621272215395457</v>
      </c>
      <c r="K77" s="166">
        <f t="shared" si="18"/>
        <v>0.60392983864021821</v>
      </c>
      <c r="L77" s="1" t="s">
        <v>127</v>
      </c>
    </row>
    <row r="78" spans="1:12" x14ac:dyDescent="0.25">
      <c r="A78" s="175">
        <v>0.35</v>
      </c>
      <c r="B78" s="162">
        <f t="shared" si="19"/>
        <v>0.28874999999999995</v>
      </c>
      <c r="C78" s="162">
        <f t="shared" si="20"/>
        <v>1.5619429464123962</v>
      </c>
      <c r="D78" s="162">
        <f t="shared" si="21"/>
        <v>0.18486590733882155</v>
      </c>
      <c r="E78" s="162">
        <f t="shared" si="22"/>
        <v>23.586282330731201</v>
      </c>
      <c r="F78" s="162">
        <f t="shared" si="23"/>
        <v>1.4869868780343698</v>
      </c>
      <c r="G78" s="152">
        <f t="shared" si="24"/>
        <v>0.42936746103242418</v>
      </c>
      <c r="H78" s="220">
        <f t="shared" si="31"/>
        <v>0.70838589573060784</v>
      </c>
      <c r="I78" s="214">
        <f t="shared" si="16"/>
        <v>38.975094378336408</v>
      </c>
      <c r="J78" s="163">
        <f t="shared" si="17"/>
        <v>51.669736921202272</v>
      </c>
      <c r="K78" s="166">
        <f t="shared" si="18"/>
        <v>0.63097147320619806</v>
      </c>
    </row>
    <row r="79" spans="1:12" ht="18" x14ac:dyDescent="0.35">
      <c r="A79" s="180">
        <v>0.37</v>
      </c>
      <c r="B79" s="162">
        <f t="shared" si="19"/>
        <v>0.31634999999999996</v>
      </c>
      <c r="C79" s="162">
        <f t="shared" si="20"/>
        <v>1.634053971921676</v>
      </c>
      <c r="D79" s="162">
        <f t="shared" si="21"/>
        <v>0.19359825650554666</v>
      </c>
      <c r="E79" s="162">
        <f t="shared" si="22"/>
        <v>23.768417204551</v>
      </c>
      <c r="F79" s="162">
        <f t="shared" si="23"/>
        <v>1.5334520938970957</v>
      </c>
      <c r="G79" s="152">
        <f t="shared" si="24"/>
        <v>0.48510756990434617</v>
      </c>
      <c r="H79" s="220">
        <f t="shared" si="31"/>
        <v>0.71262717489189908</v>
      </c>
      <c r="I79" s="214">
        <f t="shared" si="16"/>
        <v>40.816126820807895</v>
      </c>
      <c r="J79" s="163">
        <f t="shared" si="17"/>
        <v>54.394631684300286</v>
      </c>
      <c r="K79" s="166">
        <f t="shared" si="18"/>
        <v>0.66702698596083798</v>
      </c>
      <c r="L79" s="1" t="s">
        <v>128</v>
      </c>
    </row>
    <row r="80" spans="1:12" x14ac:dyDescent="0.25">
      <c r="A80" s="174">
        <v>0.45</v>
      </c>
      <c r="B80" s="3">
        <f>($B$63+$B$62*A80)*A80</f>
        <v>0.43875000000000003</v>
      </c>
      <c r="C80" s="3">
        <f>$B$63+2*A80*SQRT(1+$B$62^2)</f>
        <v>1.9224980739587951</v>
      </c>
      <c r="D80" s="3">
        <f>B80/C80</f>
        <v>0.22821869417873017</v>
      </c>
      <c r="E80" s="3">
        <f>(1/$B$64)*D80^(1/6)</f>
        <v>24.429161335424563</v>
      </c>
      <c r="F80" s="3">
        <f>E80*SQRT(D80*$B$65/100)</f>
        <v>1.7112103396160185</v>
      </c>
      <c r="G80" s="152">
        <f>F80*B80</f>
        <v>0.75079353650652814</v>
      </c>
      <c r="H80" s="219">
        <f t="shared" si="31"/>
        <v>0.72965565954233702</v>
      </c>
      <c r="I80" s="213">
        <f t="shared" si="16"/>
        <v>48.115119075007506</v>
      </c>
      <c r="J80" s="18">
        <f t="shared" si="17"/>
        <v>65.235369274290505</v>
      </c>
      <c r="K80" s="166">
        <f t="shared" si="18"/>
        <v>0.81124903697939754</v>
      </c>
    </row>
    <row r="81" spans="1:11" x14ac:dyDescent="0.25">
      <c r="A81" s="174">
        <v>0.5</v>
      </c>
      <c r="B81" s="3">
        <f t="shared" si="19"/>
        <v>0.52500000000000002</v>
      </c>
      <c r="C81" s="3">
        <f t="shared" ref="C81:C84" si="39">$B$63+2*A81*SQRT(1+$B$62^2)</f>
        <v>2.1027756377319946</v>
      </c>
      <c r="D81" s="3">
        <f t="shared" ref="D81:D84" si="40">B81/C81</f>
        <v>0.24967000310420798</v>
      </c>
      <c r="E81" s="3">
        <f t="shared" si="22"/>
        <v>24.797681793669582</v>
      </c>
      <c r="F81" s="3">
        <f t="shared" ref="F81:F84" si="41">E81*SQRT(D81*$B$65/100)</f>
        <v>1.8168266684207597</v>
      </c>
      <c r="G81" s="152">
        <f t="shared" ref="G81:G84" si="42">F81*B81</f>
        <v>0.95383400092089887</v>
      </c>
      <c r="H81" s="219">
        <f t="shared" si="31"/>
        <v>0.74025383433096126</v>
      </c>
      <c r="I81" s="213">
        <f t="shared" si="16"/>
        <v>52.63767708445706</v>
      </c>
      <c r="J81" s="18">
        <f t="shared" si="17"/>
        <v>71.974202527567229</v>
      </c>
      <c r="K81" s="166">
        <f t="shared" si="18"/>
        <v>0.90138781886599728</v>
      </c>
    </row>
    <row r="82" spans="1:11" x14ac:dyDescent="0.25">
      <c r="A82" s="174">
        <v>0.6</v>
      </c>
      <c r="B82" s="3">
        <f t="shared" si="19"/>
        <v>0.72</v>
      </c>
      <c r="C82" s="3">
        <f t="shared" si="39"/>
        <v>2.4633307652783931</v>
      </c>
      <c r="D82" s="3">
        <f t="shared" si="40"/>
        <v>0.29228717886719902</v>
      </c>
      <c r="E82" s="3">
        <f t="shared" si="22"/>
        <v>25.457650267414781</v>
      </c>
      <c r="F82" s="3">
        <f t="shared" si="41"/>
        <v>2.0180988208374138</v>
      </c>
      <c r="G82" s="152">
        <f t="shared" si="42"/>
        <v>1.4530311510029379</v>
      </c>
      <c r="H82" s="219">
        <f t="shared" si="31"/>
        <v>0.76112727416444048</v>
      </c>
      <c r="I82" s="213">
        <f t="shared" si="16"/>
        <v>61.622613633392703</v>
      </c>
      <c r="J82" s="18">
        <f t="shared" si="17"/>
        <v>85.393565822076425</v>
      </c>
      <c r="K82" s="166">
        <f t="shared" si="18"/>
        <v>1.0816653826391966</v>
      </c>
    </row>
    <row r="83" spans="1:11" x14ac:dyDescent="0.25">
      <c r="A83" s="174">
        <v>0.7</v>
      </c>
      <c r="B83" s="3">
        <f t="shared" si="19"/>
        <v>0.94499999999999984</v>
      </c>
      <c r="C83" s="3">
        <f t="shared" si="39"/>
        <v>2.8238858928247921</v>
      </c>
      <c r="D83" s="3">
        <f t="shared" si="40"/>
        <v>0.3346452497960874</v>
      </c>
      <c r="E83" s="3">
        <f t="shared" si="22"/>
        <v>26.038390295896917</v>
      </c>
      <c r="F83" s="3">
        <f t="shared" si="41"/>
        <v>2.2086438725982198</v>
      </c>
      <c r="G83" s="152">
        <f t="shared" si="42"/>
        <v>2.0871684596053175</v>
      </c>
      <c r="H83" s="219">
        <f t="shared" si="31"/>
        <v>0.78140651398896577</v>
      </c>
      <c r="I83" s="213">
        <f t="shared" si="16"/>
        <v>70.552923369259304</v>
      </c>
      <c r="J83" s="18">
        <f t="shared" si="17"/>
        <v>98.758289584222766</v>
      </c>
      <c r="K83" s="166">
        <f t="shared" si="18"/>
        <v>1.2619429464123961</v>
      </c>
    </row>
    <row r="84" spans="1:11" ht="15.75" thickBot="1" x14ac:dyDescent="0.3">
      <c r="A84" s="176">
        <v>0.8</v>
      </c>
      <c r="B84" s="7">
        <f t="shared" si="19"/>
        <v>1.2000000000000002</v>
      </c>
      <c r="C84" s="7">
        <f t="shared" si="39"/>
        <v>3.1844410203711915</v>
      </c>
      <c r="D84" s="7">
        <f t="shared" si="40"/>
        <v>0.37683222654257958</v>
      </c>
      <c r="E84" s="7">
        <f t="shared" si="22"/>
        <v>26.558774268461622</v>
      </c>
      <c r="F84" s="7">
        <f t="shared" si="41"/>
        <v>2.3905689585396575</v>
      </c>
      <c r="G84" s="172">
        <f t="shared" si="42"/>
        <v>2.8686827502475896</v>
      </c>
      <c r="H84" s="221">
        <f t="shared" si="31"/>
        <v>0.80100687309973506</v>
      </c>
      <c r="I84" s="215">
        <f t="shared" si="16"/>
        <v>79.447161489745511</v>
      </c>
      <c r="J84" s="19">
        <f t="shared" si="17"/>
        <v>112.08578628868233</v>
      </c>
      <c r="K84" s="167">
        <f t="shared" si="18"/>
        <v>1.4422205101855958</v>
      </c>
    </row>
    <row r="85" spans="1:11" x14ac:dyDescent="0.25">
      <c r="I85"/>
      <c r="J85"/>
    </row>
    <row r="99" spans="1:12" ht="15.75" thickBot="1" x14ac:dyDescent="0.3">
      <c r="A99" s="157" t="s">
        <v>132</v>
      </c>
    </row>
    <row r="100" spans="1:12" x14ac:dyDescent="0.25">
      <c r="A100" s="11" t="s">
        <v>13</v>
      </c>
      <c r="B100" s="12">
        <v>1.5</v>
      </c>
      <c r="C100" s="13"/>
    </row>
    <row r="101" spans="1:12" x14ac:dyDescent="0.25">
      <c r="A101" s="5" t="s">
        <v>14</v>
      </c>
      <c r="B101" s="2">
        <v>0.3</v>
      </c>
      <c r="C101" s="6" t="s">
        <v>2</v>
      </c>
    </row>
    <row r="102" spans="1:12" x14ac:dyDescent="0.25">
      <c r="A102" s="5" t="s">
        <v>15</v>
      </c>
      <c r="B102" s="2">
        <v>3.2000000000000001E-2</v>
      </c>
      <c r="C102" s="6"/>
      <c r="D102" t="s">
        <v>126</v>
      </c>
    </row>
    <row r="103" spans="1:12" ht="15.75" thickBot="1" x14ac:dyDescent="0.3">
      <c r="A103" s="177" t="s">
        <v>16</v>
      </c>
      <c r="B103" s="178">
        <v>22.4</v>
      </c>
      <c r="C103" s="179" t="s">
        <v>17</v>
      </c>
    </row>
    <row r="104" spans="1:12" ht="18" x14ac:dyDescent="0.35">
      <c r="A104" s="14" t="s">
        <v>0</v>
      </c>
      <c r="B104" s="4" t="s">
        <v>3</v>
      </c>
      <c r="C104" s="4" t="s">
        <v>4</v>
      </c>
      <c r="D104" s="4" t="s">
        <v>5</v>
      </c>
      <c r="E104" s="4" t="s">
        <v>6</v>
      </c>
      <c r="F104" s="4" t="s">
        <v>7</v>
      </c>
      <c r="G104" s="169" t="s">
        <v>8</v>
      </c>
      <c r="H104" s="216" t="s">
        <v>9</v>
      </c>
      <c r="I104" s="211" t="s">
        <v>10</v>
      </c>
      <c r="J104" s="21" t="s">
        <v>61</v>
      </c>
      <c r="K104" s="157" t="s">
        <v>124</v>
      </c>
    </row>
    <row r="105" spans="1:12" ht="18" thickBot="1" x14ac:dyDescent="0.3">
      <c r="A105" s="141" t="s">
        <v>1</v>
      </c>
      <c r="B105" s="142" t="s">
        <v>18</v>
      </c>
      <c r="C105" s="142" t="s">
        <v>1</v>
      </c>
      <c r="D105" s="142" t="s">
        <v>1</v>
      </c>
      <c r="E105" s="142" t="s">
        <v>123</v>
      </c>
      <c r="F105" s="142" t="s">
        <v>11</v>
      </c>
      <c r="G105" s="170" t="s">
        <v>19</v>
      </c>
      <c r="H105" s="217"/>
      <c r="I105" s="212" t="s">
        <v>12</v>
      </c>
      <c r="J105" s="143" t="s">
        <v>12</v>
      </c>
    </row>
    <row r="106" spans="1:12" x14ac:dyDescent="0.25">
      <c r="A106" s="173">
        <v>0</v>
      </c>
      <c r="B106" s="12">
        <f>($B$101+$B$100*A106)*A106</f>
        <v>0</v>
      </c>
      <c r="C106" s="144">
        <f>$B$101+2*A106*SQRT(1+$B$100^2)</f>
        <v>0.3</v>
      </c>
      <c r="D106" s="12">
        <f>B106/C106</f>
        <v>0</v>
      </c>
      <c r="E106" s="12">
        <f>(1/$B$102)*D106^(1/6)</f>
        <v>0</v>
      </c>
      <c r="F106" s="12">
        <f>E106*SQRT(D106*$B$103/100)</f>
        <v>0</v>
      </c>
      <c r="G106" s="171">
        <f>F106*B106</f>
        <v>0</v>
      </c>
      <c r="H106" s="218" t="s">
        <v>22</v>
      </c>
      <c r="I106" s="224">
        <f t="shared" ref="I106:I118" si="43">98.06*D106*$B$103</f>
        <v>0</v>
      </c>
      <c r="J106" s="164">
        <f>(I106*($B$101+2*K106))/(1.13*$B$101+1.33*K106)</f>
        <v>0</v>
      </c>
      <c r="K106" s="165">
        <f t="shared" ref="K106:K118" si="44">A106*SQRT(1+$B$100^2)</f>
        <v>0</v>
      </c>
    </row>
    <row r="107" spans="1:12" x14ac:dyDescent="0.25">
      <c r="A107" s="174">
        <v>0.05</v>
      </c>
      <c r="B107" s="3">
        <f t="shared" ref="B107:B118" si="45">($B$101+$B$100*A107)*A107</f>
        <v>1.8750000000000003E-2</v>
      </c>
      <c r="C107" s="3">
        <f t="shared" ref="C107:C118" si="46">$B$101+2*A107*SQRT(1+$B$100^2)</f>
        <v>0.48027756377319947</v>
      </c>
      <c r="D107" s="3">
        <f t="shared" ref="D107:D113" si="47">B107/C107</f>
        <v>3.9039924856565399E-2</v>
      </c>
      <c r="E107" s="3">
        <f t="shared" ref="E107:E118" si="48">(1/$B$102)*D107^(1/6)</f>
        <v>18.201262669945809</v>
      </c>
      <c r="F107" s="3">
        <f t="shared" ref="F107:F118" si="49">E107*SQRT(D107*$B$103/100)</f>
        <v>1.7020801734429505</v>
      </c>
      <c r="G107" s="152">
        <f t="shared" ref="G107:G113" si="50">F107*B107</f>
        <v>3.1914003252055324E-2</v>
      </c>
      <c r="H107" s="219">
        <f>(1.1*F107^2)/(9.81*A107)</f>
        <v>6.4970124536398419</v>
      </c>
      <c r="I107" s="213">
        <f t="shared" si="43"/>
        <v>85.75291270413959</v>
      </c>
      <c r="J107" s="18">
        <f t="shared" ref="J107:J118" si="51">(I107*($B$101+2*K107))/(1.13*$B$101+1.33*K107)</f>
        <v>89.750673269847894</v>
      </c>
      <c r="K107" s="166">
        <f t="shared" si="44"/>
        <v>9.0138781886599739E-2</v>
      </c>
    </row>
    <row r="108" spans="1:12" x14ac:dyDescent="0.25">
      <c r="A108" s="174">
        <v>0.1</v>
      </c>
      <c r="B108" s="3">
        <f t="shared" si="45"/>
        <v>4.5000000000000005E-2</v>
      </c>
      <c r="C108" s="3">
        <f t="shared" si="46"/>
        <v>0.660555127546399</v>
      </c>
      <c r="D108" s="3">
        <f t="shared" si="47"/>
        <v>6.812451848969879E-2</v>
      </c>
      <c r="E108" s="3">
        <f t="shared" si="48"/>
        <v>19.971036065360501</v>
      </c>
      <c r="F108" s="3">
        <f t="shared" si="49"/>
        <v>2.4670407774501286</v>
      </c>
      <c r="G108" s="152">
        <f t="shared" si="50"/>
        <v>0.1110168349852558</v>
      </c>
      <c r="H108" s="219">
        <f t="shared" ref="H108:H118" si="52">(1.1*F108^2)/(9.81*A108)</f>
        <v>6.8245863581670836</v>
      </c>
      <c r="I108" s="213">
        <f t="shared" si="43"/>
        <v>149.63850234143695</v>
      </c>
      <c r="J108" s="18">
        <f t="shared" si="51"/>
        <v>170.78394438124866</v>
      </c>
      <c r="K108" s="166">
        <f t="shared" si="44"/>
        <v>0.18027756377319948</v>
      </c>
    </row>
    <row r="109" spans="1:12" x14ac:dyDescent="0.25">
      <c r="A109" s="174">
        <v>0.15</v>
      </c>
      <c r="B109" s="3">
        <f t="shared" si="45"/>
        <v>7.8749999999999987E-2</v>
      </c>
      <c r="C109" s="3">
        <f t="shared" si="46"/>
        <v>0.84083269131959826</v>
      </c>
      <c r="D109" s="3">
        <f t="shared" si="47"/>
        <v>9.3657157735399371E-2</v>
      </c>
      <c r="E109" s="3">
        <f t="shared" si="48"/>
        <v>21.059118287329785</v>
      </c>
      <c r="F109" s="3">
        <f t="shared" si="49"/>
        <v>3.0502446923851663</v>
      </c>
      <c r="G109" s="152">
        <f t="shared" si="50"/>
        <v>0.24020676952533179</v>
      </c>
      <c r="H109" s="219">
        <f t="shared" si="52"/>
        <v>6.9550743810847884</v>
      </c>
      <c r="I109" s="213">
        <f t="shared" si="43"/>
        <v>205.72206788074507</v>
      </c>
      <c r="J109" s="18">
        <f t="shared" si="51"/>
        <v>247.58736719488451</v>
      </c>
      <c r="K109" s="166">
        <f t="shared" si="44"/>
        <v>0.27041634565979916</v>
      </c>
    </row>
    <row r="110" spans="1:12" ht="18" x14ac:dyDescent="0.35">
      <c r="A110" s="181">
        <v>0.215</v>
      </c>
      <c r="B110" s="3">
        <f t="shared" si="45"/>
        <v>0.1338375</v>
      </c>
      <c r="C110" s="3">
        <f t="shared" ref="C110" si="53">$B$101+2*A110*SQRT(1+$B$100^2)</f>
        <v>1.0751935242247577</v>
      </c>
      <c r="D110" s="3">
        <f t="shared" ref="D110" si="54">B110/C110</f>
        <v>0.12447759122851888</v>
      </c>
      <c r="E110" s="3">
        <f t="shared" si="48"/>
        <v>22.08166842500292</v>
      </c>
      <c r="F110" s="3">
        <f t="shared" ref="F110" si="55">E110*SQRT(D110*$B$103/100)</f>
        <v>3.6872406353363045</v>
      </c>
      <c r="G110" s="152">
        <f t="shared" ref="G110" si="56">F110*B110</f>
        <v>0.49349106853182267</v>
      </c>
      <c r="H110" s="219">
        <f t="shared" ref="H110" si="57">(1.1*F110^2)/(9.81*A110)</f>
        <v>7.0906848034339918</v>
      </c>
      <c r="I110" s="213">
        <f t="shared" si="43"/>
        <v>273.42050614745574</v>
      </c>
      <c r="J110" s="18">
        <f t="shared" si="51"/>
        <v>344.03591207220512</v>
      </c>
      <c r="K110" s="166">
        <f t="shared" si="44"/>
        <v>0.38759676211237881</v>
      </c>
      <c r="L110" s="1" t="s">
        <v>128</v>
      </c>
    </row>
    <row r="111" spans="1:12" x14ac:dyDescent="0.25">
      <c r="A111" s="174">
        <v>0.25</v>
      </c>
      <c r="B111" s="3">
        <f t="shared" si="45"/>
        <v>0.16875000000000001</v>
      </c>
      <c r="C111" s="3">
        <f t="shared" si="46"/>
        <v>1.2013878188659972</v>
      </c>
      <c r="D111" s="3">
        <f t="shared" si="47"/>
        <v>0.14046255284932466</v>
      </c>
      <c r="E111" s="3">
        <f t="shared" si="48"/>
        <v>22.53080875490102</v>
      </c>
      <c r="F111" s="3">
        <f t="shared" si="49"/>
        <v>3.9965115187459541</v>
      </c>
      <c r="G111" s="152">
        <f t="shared" si="50"/>
        <v>0.67441131878837979</v>
      </c>
      <c r="H111" s="219">
        <f t="shared" si="52"/>
        <v>7.1638388384978597</v>
      </c>
      <c r="I111" s="213">
        <f t="shared" si="43"/>
        <v>308.53217768586694</v>
      </c>
      <c r="J111" s="18">
        <f t="shared" si="51"/>
        <v>394.98908240556489</v>
      </c>
      <c r="K111" s="166">
        <f t="shared" si="44"/>
        <v>0.45069390943299864</v>
      </c>
    </row>
    <row r="112" spans="1:12" x14ac:dyDescent="0.25">
      <c r="A112" s="174">
        <v>0.3</v>
      </c>
      <c r="B112" s="3">
        <f t="shared" si="45"/>
        <v>0.22499999999999998</v>
      </c>
      <c r="C112" s="3">
        <f t="shared" si="46"/>
        <v>1.3816653826391967</v>
      </c>
      <c r="D112" s="3">
        <f t="shared" si="47"/>
        <v>0.16284695471649932</v>
      </c>
      <c r="E112" s="3">
        <f t="shared" si="48"/>
        <v>23.092979069745102</v>
      </c>
      <c r="F112" s="3">
        <f t="shared" si="49"/>
        <v>4.4105605830121464</v>
      </c>
      <c r="G112" s="152">
        <f t="shared" si="50"/>
        <v>0.99237613117773282</v>
      </c>
      <c r="H112" s="219">
        <f t="shared" si="52"/>
        <v>7.2709307244520867</v>
      </c>
      <c r="I112" s="213">
        <f t="shared" si="43"/>
        <v>357.70050130079829</v>
      </c>
      <c r="J112" s="18">
        <f t="shared" si="51"/>
        <v>466.99320338780984</v>
      </c>
      <c r="K112" s="166">
        <f t="shared" si="44"/>
        <v>0.54083269131959832</v>
      </c>
    </row>
    <row r="113" spans="1:11" x14ac:dyDescent="0.25">
      <c r="A113" s="175">
        <v>0.35</v>
      </c>
      <c r="B113" s="3">
        <f t="shared" si="45"/>
        <v>0.28874999999999995</v>
      </c>
      <c r="C113" s="3">
        <f t="shared" si="46"/>
        <v>1.5619429464123962</v>
      </c>
      <c r="D113" s="162">
        <f t="shared" si="47"/>
        <v>0.18486590733882155</v>
      </c>
      <c r="E113" s="3">
        <f t="shared" si="48"/>
        <v>23.586282330731201</v>
      </c>
      <c r="F113" s="3">
        <f t="shared" si="49"/>
        <v>4.7996759314053019</v>
      </c>
      <c r="G113" s="152">
        <f t="shared" si="50"/>
        <v>1.3859064251932807</v>
      </c>
      <c r="H113" s="220">
        <f t="shared" si="52"/>
        <v>7.3803925880770311</v>
      </c>
      <c r="I113" s="213">
        <f t="shared" si="43"/>
        <v>406.06609956964445</v>
      </c>
      <c r="J113" s="18">
        <f t="shared" si="51"/>
        <v>538.32656141159578</v>
      </c>
      <c r="K113" s="166">
        <f t="shared" si="44"/>
        <v>0.63097147320619806</v>
      </c>
    </row>
    <row r="114" spans="1:11" x14ac:dyDescent="0.25">
      <c r="A114" s="174">
        <v>0.45</v>
      </c>
      <c r="B114" s="3">
        <f t="shared" si="45"/>
        <v>0.43875000000000003</v>
      </c>
      <c r="C114" s="3">
        <f t="shared" si="46"/>
        <v>1.9224980739587951</v>
      </c>
      <c r="D114" s="3">
        <f>B114/C114</f>
        <v>0.22821869417873017</v>
      </c>
      <c r="E114" s="3">
        <f t="shared" si="48"/>
        <v>24.429161335424563</v>
      </c>
      <c r="F114" s="3">
        <f t="shared" si="49"/>
        <v>5.5234213576140627</v>
      </c>
      <c r="G114" s="152">
        <f>F114*B114</f>
        <v>2.4234011206531703</v>
      </c>
      <c r="H114" s="219">
        <f t="shared" si="52"/>
        <v>7.6019938482550451</v>
      </c>
      <c r="I114" s="213">
        <f t="shared" si="43"/>
        <v>501.29240338612465</v>
      </c>
      <c r="J114" s="18">
        <f t="shared" si="51"/>
        <v>679.6615217414452</v>
      </c>
      <c r="K114" s="166">
        <f t="shared" si="44"/>
        <v>0.81124903697939754</v>
      </c>
    </row>
    <row r="115" spans="1:11" x14ac:dyDescent="0.25">
      <c r="A115" s="174">
        <v>0.5</v>
      </c>
      <c r="B115" s="3">
        <f t="shared" si="45"/>
        <v>0.52500000000000002</v>
      </c>
      <c r="C115" s="3">
        <f t="shared" si="46"/>
        <v>2.1027756377319946</v>
      </c>
      <c r="D115" s="3">
        <f t="shared" ref="D115:D118" si="58">B115/C115</f>
        <v>0.24967000310420798</v>
      </c>
      <c r="E115" s="3">
        <f t="shared" si="48"/>
        <v>24.797681793669582</v>
      </c>
      <c r="F115" s="3">
        <f t="shared" si="49"/>
        <v>5.8643283009205174</v>
      </c>
      <c r="G115" s="152">
        <f t="shared" ref="G115:G118" si="59">F115*B115</f>
        <v>3.0787723579832718</v>
      </c>
      <c r="H115" s="219">
        <f t="shared" si="52"/>
        <v>7.7124120414016435</v>
      </c>
      <c r="I115" s="213">
        <f t="shared" si="43"/>
        <v>548.41114729852939</v>
      </c>
      <c r="J115" s="18">
        <f t="shared" si="51"/>
        <v>749.87076121744474</v>
      </c>
      <c r="K115" s="166">
        <f t="shared" si="44"/>
        <v>0.90138781886599728</v>
      </c>
    </row>
    <row r="116" spans="1:11" x14ac:dyDescent="0.25">
      <c r="A116" s="174">
        <v>0.6</v>
      </c>
      <c r="B116" s="3">
        <f t="shared" si="45"/>
        <v>0.72</v>
      </c>
      <c r="C116" s="3">
        <f t="shared" si="46"/>
        <v>2.4633307652783931</v>
      </c>
      <c r="D116" s="3">
        <f t="shared" si="58"/>
        <v>0.29228717886719902</v>
      </c>
      <c r="E116" s="3">
        <f t="shared" si="48"/>
        <v>25.457650267414781</v>
      </c>
      <c r="F116" s="3">
        <f t="shared" si="49"/>
        <v>6.5139918049410452</v>
      </c>
      <c r="G116" s="152">
        <f t="shared" si="59"/>
        <v>4.6900740995575525</v>
      </c>
      <c r="H116" s="219">
        <f t="shared" si="52"/>
        <v>7.9298841587364945</v>
      </c>
      <c r="I116" s="213">
        <f t="shared" si="43"/>
        <v>642.02164901767276</v>
      </c>
      <c r="J116" s="18">
        <f t="shared" si="51"/>
        <v>889.68180205326132</v>
      </c>
      <c r="K116" s="166">
        <f t="shared" si="44"/>
        <v>1.0816653826391966</v>
      </c>
    </row>
    <row r="117" spans="1:11" x14ac:dyDescent="0.25">
      <c r="A117" s="174">
        <v>0.7</v>
      </c>
      <c r="B117" s="3">
        <f t="shared" si="45"/>
        <v>0.94499999999999984</v>
      </c>
      <c r="C117" s="3">
        <f t="shared" si="46"/>
        <v>2.8238858928247921</v>
      </c>
      <c r="D117" s="3">
        <f t="shared" si="58"/>
        <v>0.3346452497960874</v>
      </c>
      <c r="E117" s="3">
        <f t="shared" si="48"/>
        <v>26.038390295896917</v>
      </c>
      <c r="F117" s="3">
        <f t="shared" si="49"/>
        <v>7.1290305200060073</v>
      </c>
      <c r="G117" s="152">
        <f t="shared" si="59"/>
        <v>6.7369338414056754</v>
      </c>
      <c r="H117" s="219">
        <f t="shared" si="52"/>
        <v>8.1411655410943418</v>
      </c>
      <c r="I117" s="213">
        <f t="shared" si="43"/>
        <v>735.06301556809694</v>
      </c>
      <c r="J117" s="18">
        <f t="shared" si="51"/>
        <v>1028.923575203065</v>
      </c>
      <c r="K117" s="166">
        <f t="shared" si="44"/>
        <v>1.2619429464123961</v>
      </c>
    </row>
    <row r="118" spans="1:11" ht="15.75" thickBot="1" x14ac:dyDescent="0.3">
      <c r="A118" s="176">
        <v>0.8</v>
      </c>
      <c r="B118" s="7">
        <f t="shared" si="45"/>
        <v>1.2000000000000002</v>
      </c>
      <c r="C118" s="7">
        <f t="shared" si="46"/>
        <v>3.1844410203711915</v>
      </c>
      <c r="D118" s="7">
        <f t="shared" si="58"/>
        <v>0.37683222654257958</v>
      </c>
      <c r="E118" s="7">
        <f t="shared" si="48"/>
        <v>26.558774268461622</v>
      </c>
      <c r="F118" s="7">
        <f t="shared" si="49"/>
        <v>7.7162458271553263</v>
      </c>
      <c r="G118" s="172">
        <f t="shared" si="59"/>
        <v>9.2594949925863936</v>
      </c>
      <c r="H118" s="221">
        <f t="shared" si="52"/>
        <v>8.3453739336902615</v>
      </c>
      <c r="I118" s="215">
        <f t="shared" si="43"/>
        <v>827.72856621874394</v>
      </c>
      <c r="J118" s="19">
        <f t="shared" si="51"/>
        <v>1167.7774943565043</v>
      </c>
      <c r="K118" s="167">
        <f t="shared" si="44"/>
        <v>1.4422205101855958</v>
      </c>
    </row>
    <row r="135" spans="1:1" x14ac:dyDescent="0.25">
      <c r="A135" s="182" t="s">
        <v>134</v>
      </c>
    </row>
    <row r="136" spans="1:1" x14ac:dyDescent="0.25">
      <c r="A136" t="s">
        <v>153</v>
      </c>
    </row>
    <row r="137" spans="1:1" x14ac:dyDescent="0.25">
      <c r="A137" t="s">
        <v>135</v>
      </c>
    </row>
    <row r="138" spans="1:1" x14ac:dyDescent="0.25">
      <c r="A138" t="s">
        <v>136</v>
      </c>
    </row>
    <row r="139" spans="1:1" x14ac:dyDescent="0.25">
      <c r="A139" t="s">
        <v>137</v>
      </c>
    </row>
    <row r="148" spans="1:14" ht="15.75" x14ac:dyDescent="0.25">
      <c r="A148" s="155" t="s">
        <v>138</v>
      </c>
    </row>
    <row r="149" spans="1:14" ht="15.75" thickBot="1" x14ac:dyDescent="0.3"/>
    <row r="150" spans="1:14" x14ac:dyDescent="0.25">
      <c r="A150" s="14" t="s">
        <v>20</v>
      </c>
      <c r="B150" s="4">
        <v>2</v>
      </c>
      <c r="C150" s="4">
        <v>10</v>
      </c>
      <c r="D150" s="4">
        <v>20</v>
      </c>
      <c r="E150" s="4">
        <v>50</v>
      </c>
      <c r="F150" s="15">
        <v>100</v>
      </c>
    </row>
    <row r="151" spans="1:14" ht="19.5" thickBot="1" x14ac:dyDescent="0.4">
      <c r="A151" s="10" t="s">
        <v>21</v>
      </c>
      <c r="B151" s="8">
        <v>0.02</v>
      </c>
      <c r="C151" s="8">
        <v>0.17</v>
      </c>
      <c r="D151" s="8">
        <v>0.26</v>
      </c>
      <c r="E151" s="8">
        <v>0.39</v>
      </c>
      <c r="F151" s="9">
        <v>0.49</v>
      </c>
    </row>
    <row r="153" spans="1:14" x14ac:dyDescent="0.25">
      <c r="A153" s="22" t="s">
        <v>139</v>
      </c>
      <c r="C153" s="85"/>
      <c r="D153" s="85"/>
      <c r="E153" s="86"/>
    </row>
    <row r="154" spans="1:14" x14ac:dyDescent="0.25">
      <c r="A154" s="82" t="s">
        <v>68</v>
      </c>
      <c r="C154" s="24"/>
      <c r="D154" s="238"/>
      <c r="E154" s="238"/>
    </row>
    <row r="155" spans="1:14" x14ac:dyDescent="0.25">
      <c r="A155" s="27" t="s">
        <v>25</v>
      </c>
      <c r="B155" s="27"/>
      <c r="C155" s="27"/>
      <c r="D155" s="28" t="s">
        <v>26</v>
      </c>
      <c r="E155" s="26" t="s">
        <v>27</v>
      </c>
      <c r="F155" s="26" t="s">
        <v>149</v>
      </c>
      <c r="G155" s="26" t="s">
        <v>150</v>
      </c>
      <c r="I155" s="54"/>
      <c r="J155" s="54"/>
      <c r="K155" s="54"/>
      <c r="M155" s="225" t="s">
        <v>69</v>
      </c>
      <c r="N155" s="88" t="s">
        <v>70</v>
      </c>
    </row>
    <row r="156" spans="1:14" x14ac:dyDescent="0.25">
      <c r="A156" s="322" t="s">
        <v>28</v>
      </c>
      <c r="B156" s="318"/>
      <c r="C156" s="319"/>
      <c r="D156" s="30" t="s">
        <v>29</v>
      </c>
      <c r="E156" s="31" t="s">
        <v>30</v>
      </c>
      <c r="F156" s="194">
        <v>0.02</v>
      </c>
      <c r="G156" s="194">
        <v>0.17</v>
      </c>
      <c r="I156" s="53"/>
      <c r="J156" s="53"/>
      <c r="K156" s="53"/>
      <c r="M156" s="226" t="s">
        <v>71</v>
      </c>
      <c r="N156" s="91">
        <v>1</v>
      </c>
    </row>
    <row r="157" spans="1:14" x14ac:dyDescent="0.25">
      <c r="A157" s="205" t="s">
        <v>31</v>
      </c>
      <c r="B157" s="317"/>
      <c r="C157" s="206"/>
      <c r="D157" s="33" t="s">
        <v>32</v>
      </c>
      <c r="E157" s="33" t="s">
        <v>2</v>
      </c>
      <c r="F157" s="195">
        <v>0.4</v>
      </c>
      <c r="G157" s="195">
        <v>0.4</v>
      </c>
      <c r="I157" s="55"/>
      <c r="J157" s="55"/>
      <c r="K157" s="55"/>
      <c r="M157" s="227" t="s">
        <v>96</v>
      </c>
      <c r="N157" s="94" t="s">
        <v>97</v>
      </c>
    </row>
    <row r="158" spans="1:14" x14ac:dyDescent="0.25">
      <c r="A158" s="205" t="s">
        <v>33</v>
      </c>
      <c r="B158" s="205"/>
      <c r="C158" s="206"/>
      <c r="D158" s="33" t="s">
        <v>34</v>
      </c>
      <c r="E158" s="33"/>
      <c r="F158" s="196">
        <v>1.2999999999999999E-2</v>
      </c>
      <c r="G158" s="196">
        <v>1.2999999999999999E-2</v>
      </c>
      <c r="I158" s="56"/>
      <c r="J158" s="56"/>
      <c r="K158" s="56"/>
      <c r="M158" s="228">
        <v>0.29399999999999998</v>
      </c>
      <c r="N158" s="96">
        <v>0.75</v>
      </c>
    </row>
    <row r="159" spans="1:14" x14ac:dyDescent="0.25">
      <c r="A159" s="207" t="s">
        <v>72</v>
      </c>
      <c r="B159" s="208"/>
      <c r="C159" s="209"/>
      <c r="D159" s="35" t="s">
        <v>23</v>
      </c>
      <c r="E159" s="35"/>
      <c r="F159" s="210">
        <v>0.01</v>
      </c>
      <c r="G159" s="210">
        <v>0.01</v>
      </c>
      <c r="I159" s="233"/>
      <c r="J159" s="233"/>
      <c r="K159" s="233"/>
      <c r="M159" s="228">
        <v>0.38200000000000001</v>
      </c>
      <c r="N159" s="96">
        <v>0.8</v>
      </c>
    </row>
    <row r="160" spans="1:14" x14ac:dyDescent="0.25">
      <c r="A160" s="59" t="s">
        <v>35</v>
      </c>
      <c r="B160" s="97"/>
      <c r="C160" s="97"/>
      <c r="D160" s="36" t="s">
        <v>62</v>
      </c>
      <c r="E160" s="36" t="s">
        <v>2</v>
      </c>
      <c r="F160" s="34">
        <v>0.3</v>
      </c>
      <c r="G160" s="34">
        <v>0.3</v>
      </c>
      <c r="I160" s="56"/>
      <c r="J160" s="56"/>
      <c r="K160" s="56"/>
      <c r="M160" s="229">
        <v>0.317</v>
      </c>
      <c r="N160" s="99">
        <f>N158+((M160-M158)*(N159-N158)/(M159-M158))</f>
        <v>0.76306818181818181</v>
      </c>
    </row>
    <row r="161" spans="1:14" x14ac:dyDescent="0.25">
      <c r="A161" s="42" t="s">
        <v>36</v>
      </c>
      <c r="B161" s="23"/>
      <c r="C161" s="23"/>
      <c r="D161" s="35" t="s">
        <v>63</v>
      </c>
      <c r="E161" s="37"/>
      <c r="F161" s="83">
        <v>1.5</v>
      </c>
      <c r="G161" s="83">
        <v>1.5</v>
      </c>
      <c r="I161" s="56"/>
      <c r="J161" s="56"/>
      <c r="K161" s="56"/>
      <c r="M161" s="228">
        <v>1E-3</v>
      </c>
      <c r="N161" s="96">
        <v>0.2</v>
      </c>
    </row>
    <row r="162" spans="1:14" x14ac:dyDescent="0.25">
      <c r="A162" s="32" t="s">
        <v>37</v>
      </c>
      <c r="B162" s="82"/>
      <c r="C162" s="82"/>
      <c r="D162" s="33" t="s">
        <v>3</v>
      </c>
      <c r="E162" s="38" t="s">
        <v>38</v>
      </c>
      <c r="F162" s="39">
        <f>3.1416*F157^2/4</f>
        <v>0.12566400000000003</v>
      </c>
      <c r="G162" s="49">
        <f>3.1416*G157^2/4</f>
        <v>0.12566400000000003</v>
      </c>
      <c r="I162" s="56"/>
      <c r="J162" s="56"/>
      <c r="K162" s="56"/>
      <c r="M162" s="228">
        <v>5.0000000000000001E-3</v>
      </c>
      <c r="N162" s="96">
        <v>0.25</v>
      </c>
    </row>
    <row r="163" spans="1:14" x14ac:dyDescent="0.25">
      <c r="A163" s="64" t="s">
        <v>25</v>
      </c>
      <c r="B163" s="40"/>
      <c r="C163" s="40"/>
      <c r="D163" s="33" t="s">
        <v>39</v>
      </c>
      <c r="E163" s="32"/>
      <c r="F163" s="41">
        <f>(10.294*F158^2)/F157^5.33</f>
        <v>0.2298746678621878</v>
      </c>
      <c r="G163" s="47">
        <f>(10.294*G158^2)/G157^5.33</f>
        <v>0.2298746678621878</v>
      </c>
      <c r="I163" s="233"/>
      <c r="J163" s="233"/>
      <c r="K163" s="233"/>
      <c r="M163" s="228">
        <v>8.9999999999999993E-3</v>
      </c>
      <c r="N163" s="96">
        <v>0.3</v>
      </c>
    </row>
    <row r="164" spans="1:14" x14ac:dyDescent="0.25">
      <c r="A164" s="64" t="s">
        <v>40</v>
      </c>
      <c r="B164" s="40"/>
      <c r="C164" s="40"/>
      <c r="D164" s="33" t="s">
        <v>65</v>
      </c>
      <c r="E164" s="38" t="s">
        <v>30</v>
      </c>
      <c r="F164" s="39">
        <f>(F159/F163)^0.5</f>
        <v>0.20857124936729252</v>
      </c>
      <c r="G164" s="49">
        <f>(G159/G163)^0.5</f>
        <v>0.20857124936729252</v>
      </c>
      <c r="I164" s="56"/>
      <c r="J164" s="56"/>
      <c r="K164" s="56"/>
      <c r="M164" s="228">
        <v>1.6E-2</v>
      </c>
      <c r="N164" s="96">
        <v>0.35</v>
      </c>
    </row>
    <row r="165" spans="1:14" x14ac:dyDescent="0.25">
      <c r="A165" s="65" t="s">
        <v>41</v>
      </c>
      <c r="B165" s="23"/>
      <c r="C165" s="23"/>
      <c r="D165" s="35" t="s">
        <v>42</v>
      </c>
      <c r="E165" s="42"/>
      <c r="F165" s="43">
        <f>F156^2*F163</f>
        <v>9.1949867144875121E-5</v>
      </c>
      <c r="G165" s="43">
        <f>G156^2*G163</f>
        <v>6.6433779012172282E-3</v>
      </c>
      <c r="I165" s="233"/>
      <c r="J165" s="233"/>
      <c r="K165" s="233"/>
      <c r="M165" s="228">
        <v>2.5000000000000001E-2</v>
      </c>
      <c r="N165" s="96">
        <v>0.4</v>
      </c>
    </row>
    <row r="166" spans="1:14" x14ac:dyDescent="0.25">
      <c r="A166" s="66" t="s">
        <v>68</v>
      </c>
      <c r="B166" s="101"/>
      <c r="C166" s="101"/>
      <c r="D166" s="44" t="s">
        <v>98</v>
      </c>
      <c r="E166" s="45" t="s">
        <v>43</v>
      </c>
      <c r="F166" s="46">
        <f>F159/F165</f>
        <v>108.75491515658329</v>
      </c>
      <c r="G166" s="52">
        <f>G159/G165</f>
        <v>1.5052583412675888</v>
      </c>
      <c r="I166" s="55"/>
      <c r="J166" s="55"/>
      <c r="K166" s="55"/>
      <c r="M166" s="228">
        <v>0.04</v>
      </c>
      <c r="N166" s="96">
        <v>0.45</v>
      </c>
    </row>
    <row r="167" spans="1:14" x14ac:dyDescent="0.25">
      <c r="A167" s="190" t="s">
        <v>73</v>
      </c>
      <c r="B167" s="102"/>
      <c r="C167" s="102"/>
      <c r="D167" s="103" t="s">
        <v>74</v>
      </c>
      <c r="E167" s="104" t="s">
        <v>2</v>
      </c>
      <c r="F167" s="105">
        <v>7.4999999999999997E-2</v>
      </c>
      <c r="G167" s="263">
        <v>0.27500000000000002</v>
      </c>
      <c r="I167" s="56"/>
      <c r="J167" s="56"/>
      <c r="K167" s="56"/>
      <c r="M167" s="228">
        <v>0.06</v>
      </c>
      <c r="N167" s="96">
        <v>0.5</v>
      </c>
    </row>
    <row r="168" spans="1:14" x14ac:dyDescent="0.25">
      <c r="A168" s="184" t="s">
        <v>75</v>
      </c>
      <c r="B168" s="106"/>
      <c r="C168" s="106"/>
      <c r="D168" s="107" t="s">
        <v>76</v>
      </c>
      <c r="E168" s="108"/>
      <c r="F168" s="47">
        <f>((F157/2)-F167)/(F157/2)</f>
        <v>0.625</v>
      </c>
      <c r="G168" s="47">
        <f>((G157/2)-G167)/(G157/2)</f>
        <v>-0.37500000000000006</v>
      </c>
      <c r="I168" s="233"/>
      <c r="J168" s="233"/>
      <c r="K168" s="233"/>
      <c r="M168" s="228">
        <v>8.7999999999999995E-2</v>
      </c>
      <c r="N168" s="96">
        <v>0.55000000000000004</v>
      </c>
    </row>
    <row r="169" spans="1:14" x14ac:dyDescent="0.25">
      <c r="A169" s="32" t="s">
        <v>77</v>
      </c>
      <c r="B169" s="82"/>
      <c r="C169" s="82"/>
      <c r="D169" s="109" t="s">
        <v>78</v>
      </c>
      <c r="E169" s="108" t="s">
        <v>4</v>
      </c>
      <c r="F169" s="48">
        <f>ASIN(F168)*57.296</f>
        <v>38.682336311160164</v>
      </c>
      <c r="G169" s="48">
        <f>ASIN(G168)*57.296</f>
        <v>-22.02439759150214</v>
      </c>
      <c r="I169" s="55"/>
      <c r="J169" s="55"/>
      <c r="K169" s="55"/>
      <c r="M169" s="228">
        <v>0.121</v>
      </c>
      <c r="N169" s="96">
        <v>0.6</v>
      </c>
    </row>
    <row r="170" spans="1:14" x14ac:dyDescent="0.25">
      <c r="A170" s="184" t="s">
        <v>75</v>
      </c>
      <c r="B170" s="106"/>
      <c r="C170" s="106"/>
      <c r="D170" s="107" t="s">
        <v>79</v>
      </c>
      <c r="E170" s="110"/>
      <c r="F170" s="47">
        <f>COS(F169*3.1416/180)</f>
        <v>0.7806221392843965</v>
      </c>
      <c r="G170" s="47">
        <f>COS(G169*3.1416/180)</f>
        <v>0.92702391908381965</v>
      </c>
      <c r="I170" s="233"/>
      <c r="J170" s="233"/>
      <c r="K170" s="233"/>
      <c r="M170" s="228">
        <v>0.16600000000000001</v>
      </c>
      <c r="N170" s="96">
        <v>0.65</v>
      </c>
    </row>
    <row r="171" spans="1:14" x14ac:dyDescent="0.25">
      <c r="A171" s="184" t="s">
        <v>80</v>
      </c>
      <c r="B171" s="106"/>
      <c r="C171" s="106"/>
      <c r="D171" s="107" t="s">
        <v>81</v>
      </c>
      <c r="E171" s="33" t="s">
        <v>2</v>
      </c>
      <c r="F171" s="49">
        <f>F157*F170</f>
        <v>0.3122488557137586</v>
      </c>
      <c r="G171" s="49">
        <f>G157*G170</f>
        <v>0.3708095676335279</v>
      </c>
      <c r="I171" s="56"/>
      <c r="J171" s="56"/>
      <c r="K171" s="56"/>
      <c r="M171" s="228">
        <v>0.22</v>
      </c>
      <c r="N171" s="96">
        <v>0.7</v>
      </c>
    </row>
    <row r="172" spans="1:14" x14ac:dyDescent="0.25">
      <c r="A172" s="64" t="s">
        <v>37</v>
      </c>
      <c r="B172" s="40"/>
      <c r="C172" s="40"/>
      <c r="D172" s="107" t="s">
        <v>99</v>
      </c>
      <c r="E172" s="107" t="s">
        <v>38</v>
      </c>
      <c r="F172" s="39">
        <f>F162/360*(180-2*F169)+(F167-(F157/2))*F171/2</f>
        <v>1.631101812785881E-2</v>
      </c>
      <c r="G172" s="49">
        <f>G162/360*(180-2*G169)+(G167-(G157/2))*G171/2</f>
        <v>9.2113324891471338E-2</v>
      </c>
      <c r="I172" s="56"/>
      <c r="J172" s="56"/>
      <c r="K172" s="56"/>
      <c r="M172" s="228">
        <v>0.29399999999999998</v>
      </c>
      <c r="N172" s="96">
        <v>0.75</v>
      </c>
    </row>
    <row r="173" spans="1:14" x14ac:dyDescent="0.25">
      <c r="A173" s="32" t="s">
        <v>82</v>
      </c>
      <c r="B173" s="82"/>
      <c r="C173" s="82"/>
      <c r="D173" s="33" t="s">
        <v>4</v>
      </c>
      <c r="E173" s="33" t="s">
        <v>2</v>
      </c>
      <c r="F173" s="39">
        <f>(3.1416*(F157/2)/180)*(180-2*F169)</f>
        <v>0.35826571609968716</v>
      </c>
      <c r="G173" s="49">
        <f>(3.1416*(G157/2)/180)*(180-2*G169)</f>
        <v>0.78207966105214022</v>
      </c>
      <c r="I173" s="56"/>
      <c r="J173" s="56"/>
      <c r="K173" s="56"/>
      <c r="M173" s="228">
        <v>0.38200000000000001</v>
      </c>
      <c r="N173" s="96">
        <v>0.8</v>
      </c>
    </row>
    <row r="174" spans="1:14" x14ac:dyDescent="0.25">
      <c r="A174" s="32" t="s">
        <v>83</v>
      </c>
      <c r="B174" s="82"/>
      <c r="C174" s="82"/>
      <c r="D174" s="33" t="s">
        <v>5</v>
      </c>
      <c r="E174" s="33" t="s">
        <v>2</v>
      </c>
      <c r="F174" s="49">
        <f>F172/F173</f>
        <v>4.5527711402115527E-2</v>
      </c>
      <c r="G174" s="49">
        <f>G172/G173</f>
        <v>0.11777997751220162</v>
      </c>
      <c r="I174" s="56"/>
      <c r="J174" s="56"/>
      <c r="K174" s="56"/>
      <c r="M174" s="228">
        <v>0.5</v>
      </c>
      <c r="N174" s="96">
        <v>0.85</v>
      </c>
    </row>
    <row r="175" spans="1:14" x14ac:dyDescent="0.25">
      <c r="A175" s="32" t="s">
        <v>84</v>
      </c>
      <c r="B175" s="82"/>
      <c r="C175" s="82"/>
      <c r="D175" s="33" t="s">
        <v>7</v>
      </c>
      <c r="E175" s="38" t="s">
        <v>44</v>
      </c>
      <c r="F175" s="111">
        <f>(F174^0.6667*F159^0.5)/F158</f>
        <v>0.98068410582557453</v>
      </c>
      <c r="G175" s="48">
        <f>(G174^0.6667*G159^0.5)/G158</f>
        <v>1.8481618225412086</v>
      </c>
      <c r="I175" s="55"/>
      <c r="J175" s="55"/>
      <c r="K175" s="55"/>
      <c r="M175" s="228">
        <v>0.68500000000000005</v>
      </c>
      <c r="N175" s="96">
        <v>0.9</v>
      </c>
    </row>
    <row r="176" spans="1:14" x14ac:dyDescent="0.25">
      <c r="A176" s="42" t="s">
        <v>64</v>
      </c>
      <c r="B176" s="23"/>
      <c r="C176" s="23"/>
      <c r="D176" s="35" t="s">
        <v>8</v>
      </c>
      <c r="E176" s="37" t="s">
        <v>30</v>
      </c>
      <c r="F176" s="50">
        <f>F175*F172</f>
        <v>1.5995956227823953E-2</v>
      </c>
      <c r="G176" s="193">
        <f>G175*G172</f>
        <v>0.17024033041175216</v>
      </c>
      <c r="I176" s="56"/>
      <c r="J176" s="56"/>
      <c r="K176" s="56"/>
      <c r="M176" s="229">
        <v>1.0349999999999999</v>
      </c>
      <c r="N176" s="112">
        <v>0.95</v>
      </c>
    </row>
    <row r="177" spans="1:14" x14ac:dyDescent="0.25">
      <c r="A177" s="64" t="s">
        <v>85</v>
      </c>
      <c r="B177" s="40"/>
      <c r="C177" s="40"/>
      <c r="D177" s="113" t="s">
        <v>100</v>
      </c>
      <c r="E177" s="33"/>
      <c r="F177" s="49">
        <f>1.1*F156^2/(9.806*F157^5)</f>
        <v>4.3818835406893722E-3</v>
      </c>
      <c r="G177" s="49">
        <f>1.1*G156^2/(9.806*G157^5)</f>
        <v>0.31659108581480716</v>
      </c>
      <c r="I177" s="56"/>
      <c r="J177" s="56"/>
      <c r="K177" s="56"/>
      <c r="M177" s="226" t="s">
        <v>71</v>
      </c>
      <c r="N177" s="91">
        <v>2</v>
      </c>
    </row>
    <row r="178" spans="1:14" x14ac:dyDescent="0.25">
      <c r="A178" s="32" t="s">
        <v>86</v>
      </c>
      <c r="B178" s="82"/>
      <c r="C178" s="82"/>
      <c r="D178" s="113" t="s">
        <v>101</v>
      </c>
      <c r="E178" s="33"/>
      <c r="F178" s="114">
        <v>0.23799999999999999</v>
      </c>
      <c r="G178" s="114">
        <v>0.76300000000000001</v>
      </c>
      <c r="I178" s="56"/>
      <c r="J178" s="56"/>
      <c r="K178" s="56"/>
      <c r="M178" s="230" t="s">
        <v>102</v>
      </c>
      <c r="N178" s="116" t="s">
        <v>103</v>
      </c>
    </row>
    <row r="179" spans="1:14" x14ac:dyDescent="0.25">
      <c r="A179" s="264" t="s">
        <v>87</v>
      </c>
      <c r="B179" s="51"/>
      <c r="C179" s="51"/>
      <c r="D179" s="117" t="s">
        <v>104</v>
      </c>
      <c r="E179" s="118"/>
      <c r="F179" s="49">
        <f>F178*F157</f>
        <v>9.5200000000000007E-2</v>
      </c>
      <c r="G179" s="49">
        <f>G178*G157</f>
        <v>0.30520000000000003</v>
      </c>
      <c r="I179" s="56"/>
      <c r="J179" s="56"/>
      <c r="K179" s="56"/>
      <c r="M179" s="134">
        <v>0.65</v>
      </c>
      <c r="N179" s="120">
        <v>0.68899999999999995</v>
      </c>
    </row>
    <row r="180" spans="1:14" x14ac:dyDescent="0.25">
      <c r="A180" s="265" t="s">
        <v>88</v>
      </c>
      <c r="B180" s="121"/>
      <c r="C180" s="121"/>
      <c r="D180" s="44" t="s">
        <v>105</v>
      </c>
      <c r="E180" s="84" t="s">
        <v>66</v>
      </c>
      <c r="F180" s="52">
        <f>(1.1*F179)/F167</f>
        <v>1.396266666666667</v>
      </c>
      <c r="G180" s="52">
        <f>(1.1*G179)/G167</f>
        <v>1.2208000000000001</v>
      </c>
      <c r="I180" s="55"/>
      <c r="J180" s="55"/>
      <c r="K180" s="55"/>
      <c r="M180" s="134">
        <v>0.7</v>
      </c>
      <c r="N180" s="120">
        <v>0.747</v>
      </c>
    </row>
    <row r="181" spans="1:14" x14ac:dyDescent="0.25">
      <c r="A181" s="64" t="s">
        <v>89</v>
      </c>
      <c r="B181" s="40"/>
      <c r="C181" s="40"/>
      <c r="D181" s="113" t="s">
        <v>106</v>
      </c>
      <c r="E181" s="33" t="s">
        <v>2</v>
      </c>
      <c r="F181" s="122">
        <f>0.9*F179</f>
        <v>8.5680000000000006E-2</v>
      </c>
      <c r="G181" s="122">
        <f>0.9*G179</f>
        <v>0.27468000000000004</v>
      </c>
      <c r="I181" s="56"/>
      <c r="J181" s="56"/>
      <c r="K181" s="56"/>
      <c r="M181" s="231">
        <v>0.68700000000000006</v>
      </c>
      <c r="N181" s="124">
        <f>N179+((M181-M179)*(N180-N179)/(M180-M179))</f>
        <v>0.73192000000000013</v>
      </c>
    </row>
    <row r="182" spans="1:14" x14ac:dyDescent="0.25">
      <c r="A182" s="64" t="s">
        <v>90</v>
      </c>
      <c r="B182" s="40"/>
      <c r="C182" s="40"/>
      <c r="D182" s="113" t="s">
        <v>107</v>
      </c>
      <c r="E182" s="33"/>
      <c r="F182" s="49">
        <f>F181/F157</f>
        <v>0.2142</v>
      </c>
      <c r="G182" s="49">
        <f>G181/G157</f>
        <v>0.68670000000000009</v>
      </c>
      <c r="I182" s="56"/>
      <c r="J182" s="56"/>
      <c r="K182" s="56"/>
      <c r="M182" s="134">
        <v>0.1</v>
      </c>
      <c r="N182" s="120">
        <v>5.2499999999999998E-2</v>
      </c>
    </row>
    <row r="183" spans="1:14" x14ac:dyDescent="0.25">
      <c r="A183" s="32" t="s">
        <v>91</v>
      </c>
      <c r="B183" s="82"/>
      <c r="C183" s="82"/>
      <c r="D183" s="33" t="s">
        <v>108</v>
      </c>
      <c r="E183" s="125"/>
      <c r="F183" s="114">
        <v>0.157</v>
      </c>
      <c r="G183" s="114">
        <v>0.73199999999999998</v>
      </c>
      <c r="I183" s="56"/>
      <c r="J183" s="56"/>
      <c r="K183" s="56"/>
      <c r="M183" s="134">
        <v>0.2</v>
      </c>
      <c r="N183" s="120">
        <v>0.14269999999999999</v>
      </c>
    </row>
    <row r="184" spans="1:14" x14ac:dyDescent="0.25">
      <c r="A184" s="32" t="s">
        <v>109</v>
      </c>
      <c r="B184" s="82"/>
      <c r="C184" s="82"/>
      <c r="D184" s="33" t="s">
        <v>110</v>
      </c>
      <c r="E184" s="125" t="s">
        <v>38</v>
      </c>
      <c r="F184" s="49">
        <f>F162*F183</f>
        <v>1.9729248000000005E-2</v>
      </c>
      <c r="G184" s="49">
        <f>G162*G183</f>
        <v>9.1986048000000015E-2</v>
      </c>
      <c r="I184" s="56"/>
      <c r="J184" s="56"/>
      <c r="K184" s="56"/>
      <c r="M184" s="134">
        <v>0.25</v>
      </c>
      <c r="N184" s="120">
        <v>0.19539999999999999</v>
      </c>
    </row>
    <row r="185" spans="1:14" ht="15.75" thickBot="1" x14ac:dyDescent="0.3">
      <c r="A185" s="264" t="s">
        <v>92</v>
      </c>
      <c r="B185" s="51"/>
      <c r="C185" s="51"/>
      <c r="D185" s="117" t="s">
        <v>67</v>
      </c>
      <c r="E185" s="38" t="s">
        <v>2</v>
      </c>
      <c r="F185" s="48">
        <f>0.07057*(F156/F184)^2+F181</f>
        <v>0.15820020861934769</v>
      </c>
      <c r="G185" s="48">
        <f>0.07057*(G156/G184)^2+G181</f>
        <v>0.51571163064394709</v>
      </c>
      <c r="I185" s="55"/>
      <c r="J185" s="55"/>
      <c r="K185" s="55"/>
      <c r="M185" s="134">
        <v>0.3</v>
      </c>
      <c r="N185" s="120">
        <v>0.253</v>
      </c>
    </row>
    <row r="186" spans="1:14" ht="15.75" thickBot="1" x14ac:dyDescent="0.3">
      <c r="A186" s="130" t="s">
        <v>93</v>
      </c>
      <c r="B186" s="185"/>
      <c r="C186" s="185"/>
      <c r="D186" s="126" t="s">
        <v>45</v>
      </c>
      <c r="E186" s="126" t="s">
        <v>2</v>
      </c>
      <c r="F186" s="201">
        <f>F185-(0.057*F199^2)</f>
        <v>0.15514593907202259</v>
      </c>
      <c r="G186" s="320">
        <f>G185-(0.057*G199^2)</f>
        <v>0.42729380124362637</v>
      </c>
      <c r="I186" s="234"/>
      <c r="J186" s="234"/>
      <c r="K186" s="234"/>
      <c r="M186" s="134">
        <v>0.35</v>
      </c>
      <c r="N186" s="120">
        <v>0.3115</v>
      </c>
    </row>
    <row r="187" spans="1:14" x14ac:dyDescent="0.25">
      <c r="A187" s="265" t="s">
        <v>94</v>
      </c>
      <c r="B187" s="121"/>
      <c r="C187" s="121"/>
      <c r="D187" s="44" t="s">
        <v>111</v>
      </c>
      <c r="E187" s="84" t="s">
        <v>66</v>
      </c>
      <c r="F187" s="200">
        <f>F186/(1.2*F157)</f>
        <v>0.32322070640004708</v>
      </c>
      <c r="G187" s="200">
        <f>G186/(1.2*G157)</f>
        <v>0.89019541925755497</v>
      </c>
      <c r="I187" s="234"/>
      <c r="J187" s="234"/>
      <c r="K187" s="234"/>
      <c r="M187" s="134">
        <v>0.4</v>
      </c>
      <c r="N187" s="120">
        <v>0.374</v>
      </c>
    </row>
    <row r="188" spans="1:14" x14ac:dyDescent="0.25">
      <c r="A188" s="264" t="s">
        <v>92</v>
      </c>
      <c r="B188" s="51"/>
      <c r="C188" s="51"/>
      <c r="D188" s="117" t="s">
        <v>67</v>
      </c>
      <c r="E188" s="128" t="s">
        <v>2</v>
      </c>
      <c r="F188" s="48">
        <f>(0.1834*(F156^2/F162^2))+0.6*F157</f>
        <v>0.24464555454332113</v>
      </c>
      <c r="G188" s="48">
        <f>(0.1834*(G156^2/G162^2))+0.6*G157</f>
        <v>0.57564131575495203</v>
      </c>
      <c r="I188" s="55"/>
      <c r="J188" s="55"/>
      <c r="K188" s="55"/>
      <c r="M188" s="134">
        <v>0.45</v>
      </c>
      <c r="N188" s="120">
        <v>0.436</v>
      </c>
    </row>
    <row r="189" spans="1:14" x14ac:dyDescent="0.25">
      <c r="A189" s="130" t="s">
        <v>93</v>
      </c>
      <c r="B189" s="185"/>
      <c r="C189" s="185"/>
      <c r="D189" s="126" t="s">
        <v>45</v>
      </c>
      <c r="E189" s="127" t="s">
        <v>2</v>
      </c>
      <c r="F189" s="198">
        <f>F188-(0.057*F199^2)</f>
        <v>0.24159128499599603</v>
      </c>
      <c r="G189" s="198">
        <f>G188-(0.057*G199^2)</f>
        <v>0.48722348635463131</v>
      </c>
      <c r="I189" s="235"/>
      <c r="J189" s="235"/>
      <c r="K189" s="235"/>
      <c r="M189" s="134">
        <v>0.5</v>
      </c>
      <c r="N189" s="120">
        <v>0.5</v>
      </c>
    </row>
    <row r="190" spans="1:14" x14ac:dyDescent="0.25">
      <c r="A190" s="265" t="s">
        <v>95</v>
      </c>
      <c r="B190" s="121"/>
      <c r="C190" s="121"/>
      <c r="D190" s="44" t="s">
        <v>112</v>
      </c>
      <c r="E190" s="84" t="s">
        <v>66</v>
      </c>
      <c r="F190" s="199">
        <f>F167/(1.1*F179)</f>
        <v>0.71619556913674542</v>
      </c>
      <c r="G190" s="199">
        <f>G167/(1.1*G179)</f>
        <v>0.81913499344691998</v>
      </c>
      <c r="I190" s="236"/>
      <c r="J190" s="236"/>
      <c r="K190" s="236"/>
      <c r="M190" s="134">
        <v>0.55000000000000004</v>
      </c>
      <c r="N190" s="120">
        <v>0.56399999999999995</v>
      </c>
    </row>
    <row r="191" spans="1:14" x14ac:dyDescent="0.25">
      <c r="A191" s="264" t="s">
        <v>92</v>
      </c>
      <c r="B191" s="51"/>
      <c r="C191" s="51"/>
      <c r="D191" s="117" t="s">
        <v>67</v>
      </c>
      <c r="E191" s="38" t="s">
        <v>2</v>
      </c>
      <c r="F191" s="129">
        <f>0.07057*(F156/F172)^2+F167</f>
        <v>0.18110063130336201</v>
      </c>
      <c r="G191" s="129">
        <f>0.07057*(G156/G172)^2+G167</f>
        <v>0.51536600355142048</v>
      </c>
      <c r="I191" s="57"/>
      <c r="J191" s="57"/>
      <c r="K191" s="57"/>
      <c r="M191" s="134">
        <v>0.6</v>
      </c>
      <c r="N191" s="120">
        <v>0.625</v>
      </c>
    </row>
    <row r="192" spans="1:14" x14ac:dyDescent="0.25">
      <c r="A192" s="130" t="s">
        <v>93</v>
      </c>
      <c r="B192" s="185"/>
      <c r="C192" s="185"/>
      <c r="D192" s="126" t="s">
        <v>45</v>
      </c>
      <c r="E192" s="126" t="s">
        <v>2</v>
      </c>
      <c r="F192" s="50">
        <f>F191-(0.057*F199^2)</f>
        <v>0.17804636175603691</v>
      </c>
      <c r="G192" s="50">
        <f>G191-(0.057*G199^2)</f>
        <v>0.42694817415109976</v>
      </c>
      <c r="I192" s="55"/>
      <c r="J192" s="55"/>
      <c r="K192" s="55"/>
      <c r="M192" s="134">
        <v>0.65</v>
      </c>
      <c r="N192" s="120">
        <v>0.68899999999999995</v>
      </c>
    </row>
    <row r="193" spans="1:14" x14ac:dyDescent="0.25">
      <c r="A193" s="265" t="s">
        <v>94</v>
      </c>
      <c r="B193" s="121"/>
      <c r="C193" s="121"/>
      <c r="D193" s="44" t="s">
        <v>113</v>
      </c>
      <c r="E193" s="84" t="s">
        <v>66</v>
      </c>
      <c r="F193" s="199">
        <f>F192/(1.2*F157)</f>
        <v>0.37092992032507693</v>
      </c>
      <c r="G193" s="204">
        <f>G192/(1.2*G157)</f>
        <v>0.88947536281479123</v>
      </c>
      <c r="I193" s="237"/>
      <c r="J193" s="237"/>
      <c r="K193" s="237"/>
      <c r="M193" s="134">
        <v>0.7</v>
      </c>
      <c r="N193" s="120">
        <v>0.747</v>
      </c>
    </row>
    <row r="194" spans="1:14" x14ac:dyDescent="0.25">
      <c r="A194" s="264" t="s">
        <v>92</v>
      </c>
      <c r="B194" s="51"/>
      <c r="C194" s="51"/>
      <c r="D194" s="117" t="s">
        <v>67</v>
      </c>
      <c r="E194" s="128" t="s">
        <v>2</v>
      </c>
      <c r="F194" s="111">
        <f>(0.1834*(F156^2/F162^2))+0.6*F167</f>
        <v>4.9645554543321133E-2</v>
      </c>
      <c r="G194" s="48">
        <f>(0.1834*(G156^2/G162^2))+0.6*G167</f>
        <v>0.50064131575495208</v>
      </c>
      <c r="I194" s="55"/>
      <c r="J194" s="55"/>
      <c r="K194" s="55"/>
      <c r="M194" s="134">
        <v>0.75</v>
      </c>
      <c r="N194" s="120">
        <v>0.80500000000000005</v>
      </c>
    </row>
    <row r="195" spans="1:14" x14ac:dyDescent="0.25">
      <c r="A195" s="130" t="s">
        <v>93</v>
      </c>
      <c r="B195" s="130"/>
      <c r="C195" s="130"/>
      <c r="D195" s="126" t="s">
        <v>45</v>
      </c>
      <c r="E195" s="127" t="s">
        <v>2</v>
      </c>
      <c r="F195" s="131">
        <f>F194-(0.057*F199^2)</f>
        <v>4.6591284995996032E-2</v>
      </c>
      <c r="G195" s="198">
        <f>G194-(0.057*G199^2)</f>
        <v>0.41222348635463135</v>
      </c>
      <c r="I195" s="235"/>
      <c r="J195" s="235"/>
      <c r="K195" s="235"/>
      <c r="M195" s="134">
        <v>0.8</v>
      </c>
      <c r="N195" s="120">
        <v>0.85699999999999998</v>
      </c>
    </row>
    <row r="196" spans="1:14" x14ac:dyDescent="0.25">
      <c r="A196" s="27" t="s">
        <v>46</v>
      </c>
      <c r="B196" s="27"/>
      <c r="C196" s="27"/>
      <c r="D196" s="187" t="s">
        <v>29</v>
      </c>
      <c r="E196" s="188" t="s">
        <v>30</v>
      </c>
      <c r="F196" s="189">
        <v>0.02</v>
      </c>
      <c r="G196" s="189">
        <v>0.17</v>
      </c>
      <c r="I196" s="56"/>
      <c r="J196" s="56"/>
      <c r="K196" s="56"/>
      <c r="M196" s="134">
        <v>0.85</v>
      </c>
      <c r="N196" s="120">
        <v>0.90600000000000003</v>
      </c>
    </row>
    <row r="197" spans="1:14" x14ac:dyDescent="0.25">
      <c r="A197" s="190" t="s">
        <v>47</v>
      </c>
      <c r="B197" s="190"/>
      <c r="C197" s="190"/>
      <c r="D197" s="191" t="s">
        <v>45</v>
      </c>
      <c r="E197" s="103" t="s">
        <v>2</v>
      </c>
      <c r="F197" s="192">
        <v>0.16</v>
      </c>
      <c r="G197" s="192">
        <v>0.43</v>
      </c>
      <c r="I197" s="55"/>
      <c r="J197" s="55"/>
      <c r="K197" s="55"/>
      <c r="M197" s="134">
        <v>0.9</v>
      </c>
      <c r="N197" s="120">
        <v>0.94799999999999995</v>
      </c>
    </row>
    <row r="198" spans="1:14" x14ac:dyDescent="0.25">
      <c r="A198" s="32" t="s">
        <v>37</v>
      </c>
      <c r="B198" s="32"/>
      <c r="C198" s="32"/>
      <c r="D198" s="33" t="s">
        <v>3</v>
      </c>
      <c r="E198" s="38" t="s">
        <v>38</v>
      </c>
      <c r="F198" s="48">
        <f>(G160+G161*F197)*F197</f>
        <v>8.6400000000000005E-2</v>
      </c>
      <c r="G198" s="48">
        <f>(M160+M161*G197)*G197</f>
        <v>0.1364949</v>
      </c>
      <c r="I198" s="55"/>
      <c r="J198" s="55"/>
      <c r="K198" s="55"/>
      <c r="M198" s="134">
        <v>0.95</v>
      </c>
      <c r="N198" s="120">
        <v>0.98099999999999998</v>
      </c>
    </row>
    <row r="199" spans="1:14" x14ac:dyDescent="0.25">
      <c r="A199" s="42" t="s">
        <v>48</v>
      </c>
      <c r="B199" s="42"/>
      <c r="C199" s="42"/>
      <c r="D199" s="35" t="s">
        <v>49</v>
      </c>
      <c r="E199" s="37" t="s">
        <v>44</v>
      </c>
      <c r="F199" s="50">
        <f>F156/F198</f>
        <v>0.23148148148148148</v>
      </c>
      <c r="G199" s="50">
        <f>G156/G198</f>
        <v>1.2454677793822333</v>
      </c>
      <c r="I199" s="55"/>
      <c r="J199" s="55"/>
      <c r="K199" s="55"/>
      <c r="M199" s="232">
        <v>1</v>
      </c>
      <c r="N199" s="133">
        <v>1</v>
      </c>
    </row>
    <row r="202" spans="1:14" x14ac:dyDescent="0.25">
      <c r="A202" s="22" t="s">
        <v>139</v>
      </c>
    </row>
    <row r="203" spans="1:14" x14ac:dyDescent="0.25">
      <c r="A203" s="82" t="s">
        <v>40</v>
      </c>
      <c r="C203" s="24"/>
      <c r="D203" s="25"/>
      <c r="E203" s="25"/>
      <c r="F203" s="53"/>
    </row>
    <row r="204" spans="1:14" x14ac:dyDescent="0.25">
      <c r="A204" s="27" t="s">
        <v>25</v>
      </c>
      <c r="B204" s="183"/>
      <c r="C204" s="183"/>
      <c r="D204" s="28" t="s">
        <v>26</v>
      </c>
      <c r="E204" s="28" t="s">
        <v>27</v>
      </c>
      <c r="F204" s="26" t="s">
        <v>143</v>
      </c>
      <c r="G204" s="26" t="s">
        <v>152</v>
      </c>
      <c r="H204" s="26" t="s">
        <v>144</v>
      </c>
      <c r="J204"/>
      <c r="K204" s="160"/>
      <c r="L204" s="160"/>
    </row>
    <row r="205" spans="1:14" ht="15.75" thickBot="1" x14ac:dyDescent="0.3">
      <c r="A205" s="29" t="s">
        <v>28</v>
      </c>
      <c r="B205" s="254"/>
      <c r="C205" s="254"/>
      <c r="D205" s="30" t="s">
        <v>29</v>
      </c>
      <c r="E205" s="31" t="s">
        <v>30</v>
      </c>
      <c r="F205" s="8">
        <v>0.26</v>
      </c>
      <c r="G205" s="8">
        <v>0.39</v>
      </c>
      <c r="H205" s="8">
        <v>0.49</v>
      </c>
      <c r="J205"/>
      <c r="K205" s="160"/>
      <c r="L205" s="160"/>
    </row>
    <row r="206" spans="1:14" x14ac:dyDescent="0.25">
      <c r="A206" s="32" t="s">
        <v>31</v>
      </c>
      <c r="B206" s="82"/>
      <c r="C206" s="82"/>
      <c r="D206" s="33" t="s">
        <v>32</v>
      </c>
      <c r="E206" s="33" t="s">
        <v>2</v>
      </c>
      <c r="F206" s="34">
        <v>0.4</v>
      </c>
      <c r="G206" s="34">
        <v>0.4</v>
      </c>
      <c r="H206" s="34">
        <v>0.4</v>
      </c>
      <c r="J206"/>
      <c r="K206" s="160"/>
      <c r="L206" s="160"/>
    </row>
    <row r="207" spans="1:14" x14ac:dyDescent="0.25">
      <c r="A207" s="32" t="s">
        <v>33</v>
      </c>
      <c r="B207" s="82"/>
      <c r="C207" s="82"/>
      <c r="D207" s="33" t="s">
        <v>34</v>
      </c>
      <c r="E207" s="33"/>
      <c r="F207" s="34">
        <v>1.2999999999999999E-2</v>
      </c>
      <c r="G207" s="34">
        <v>1.2999999999999999E-2</v>
      </c>
      <c r="H207" s="34">
        <v>1.2999999999999999E-2</v>
      </c>
      <c r="J207"/>
      <c r="K207" s="160"/>
      <c r="L207" s="160"/>
    </row>
    <row r="208" spans="1:14" x14ac:dyDescent="0.25">
      <c r="A208" s="42" t="s">
        <v>50</v>
      </c>
      <c r="B208" s="23"/>
      <c r="C208" s="23"/>
      <c r="D208" s="35" t="s">
        <v>23</v>
      </c>
      <c r="E208" s="35"/>
      <c r="F208" s="58">
        <v>0.01</v>
      </c>
      <c r="G208" s="58">
        <v>0.01</v>
      </c>
      <c r="H208" s="58">
        <v>0.01</v>
      </c>
      <c r="J208"/>
      <c r="K208" s="160"/>
      <c r="L208" s="160"/>
    </row>
    <row r="209" spans="1:12" x14ac:dyDescent="0.25">
      <c r="A209" s="59" t="s">
        <v>35</v>
      </c>
      <c r="B209" s="97"/>
      <c r="C209" s="97"/>
      <c r="D209" s="36" t="s">
        <v>51</v>
      </c>
      <c r="E209" s="36" t="s">
        <v>2</v>
      </c>
      <c r="F209" s="60">
        <v>0.3</v>
      </c>
      <c r="G209" s="60">
        <v>0.3</v>
      </c>
      <c r="H209" s="61">
        <v>0.3</v>
      </c>
      <c r="J209"/>
      <c r="K209" s="160"/>
      <c r="L209" s="160"/>
    </row>
    <row r="210" spans="1:12" x14ac:dyDescent="0.25">
      <c r="A210" s="42" t="s">
        <v>36</v>
      </c>
      <c r="B210" s="23"/>
      <c r="C210" s="23"/>
      <c r="D210" s="35" t="s">
        <v>2</v>
      </c>
      <c r="E210" s="37"/>
      <c r="F210" s="62">
        <v>1.5</v>
      </c>
      <c r="G210" s="62">
        <v>1.5</v>
      </c>
      <c r="H210" s="63">
        <v>1.5</v>
      </c>
      <c r="J210"/>
      <c r="K210" s="160"/>
      <c r="L210" s="160"/>
    </row>
    <row r="211" spans="1:12" x14ac:dyDescent="0.25">
      <c r="A211" s="32" t="s">
        <v>37</v>
      </c>
      <c r="B211" s="82"/>
      <c r="C211" s="82"/>
      <c r="D211" s="33" t="s">
        <v>3</v>
      </c>
      <c r="E211" s="38" t="s">
        <v>38</v>
      </c>
      <c r="F211" s="39">
        <f>3.1416*F206^2/4</f>
        <v>0.12566400000000003</v>
      </c>
      <c r="G211" s="49">
        <f>3.1416*G206^2/4</f>
        <v>0.12566400000000003</v>
      </c>
      <c r="H211" s="49">
        <f>3.1416*H206^2/4</f>
        <v>0.12566400000000003</v>
      </c>
      <c r="J211"/>
      <c r="K211" s="160"/>
      <c r="L211" s="160"/>
    </row>
    <row r="212" spans="1:12" x14ac:dyDescent="0.25">
      <c r="A212" s="64" t="s">
        <v>25</v>
      </c>
      <c r="B212" s="40"/>
      <c r="C212" s="40"/>
      <c r="D212" s="33" t="s">
        <v>39</v>
      </c>
      <c r="E212" s="32"/>
      <c r="F212" s="41">
        <f>(10.294*F207^2)/F206^5.33</f>
        <v>0.2298746678621878</v>
      </c>
      <c r="G212" s="47">
        <f>(10.294*G207^2)/G206^5.33</f>
        <v>0.2298746678621878</v>
      </c>
      <c r="H212" s="47">
        <f>(10.294*H207^2)/H206^5.33</f>
        <v>0.2298746678621878</v>
      </c>
      <c r="J212"/>
      <c r="K212" s="160"/>
      <c r="L212" s="160"/>
    </row>
    <row r="213" spans="1:12" x14ac:dyDescent="0.25">
      <c r="A213" s="64" t="s">
        <v>40</v>
      </c>
      <c r="B213" s="40"/>
      <c r="C213" s="40"/>
      <c r="D213" s="33" t="s">
        <v>52</v>
      </c>
      <c r="E213" s="38" t="s">
        <v>30</v>
      </c>
      <c r="F213" s="39">
        <f>(F208/F212)^0.5</f>
        <v>0.20857124936729252</v>
      </c>
      <c r="G213" s="49">
        <f>(G208/G212)^0.5</f>
        <v>0.20857124936729252</v>
      </c>
      <c r="H213" s="49">
        <f>(H208/H212)^0.5</f>
        <v>0.20857124936729252</v>
      </c>
      <c r="J213"/>
      <c r="K213" s="160"/>
      <c r="L213" s="160"/>
    </row>
    <row r="214" spans="1:12" x14ac:dyDescent="0.25">
      <c r="A214" s="65" t="s">
        <v>41</v>
      </c>
      <c r="B214" s="23"/>
      <c r="C214" s="23"/>
      <c r="D214" s="35" t="s">
        <v>42</v>
      </c>
      <c r="E214" s="42"/>
      <c r="F214" s="43">
        <f>F205^2*F212</f>
        <v>1.5539527547483898E-2</v>
      </c>
      <c r="G214" s="43">
        <f>G205^2*G212</f>
        <v>3.4963936981838764E-2</v>
      </c>
      <c r="H214" s="43">
        <f>H205^2*H212</f>
        <v>5.5192907753711287E-2</v>
      </c>
      <c r="J214"/>
      <c r="K214" s="160"/>
      <c r="L214" s="160"/>
    </row>
    <row r="215" spans="1:12" x14ac:dyDescent="0.25">
      <c r="A215" s="66" t="s">
        <v>53</v>
      </c>
      <c r="B215" s="101"/>
      <c r="C215" s="101"/>
      <c r="D215" s="44" t="s">
        <v>54</v>
      </c>
      <c r="E215" s="45" t="s">
        <v>43</v>
      </c>
      <c r="F215" s="46">
        <f>F214/F208</f>
        <v>1.5539527547483898</v>
      </c>
      <c r="G215" s="46">
        <f>G214/G208</f>
        <v>3.4963936981838764</v>
      </c>
      <c r="H215" s="52">
        <f>H214/H208</f>
        <v>5.5192907753711289</v>
      </c>
      <c r="J215"/>
      <c r="K215" s="160"/>
      <c r="L215" s="160"/>
    </row>
    <row r="216" spans="1:12" x14ac:dyDescent="0.25">
      <c r="A216" s="67" t="s">
        <v>55</v>
      </c>
      <c r="B216" s="313"/>
      <c r="C216" s="313"/>
      <c r="D216" s="68" t="s">
        <v>56</v>
      </c>
      <c r="E216" s="38" t="s">
        <v>44</v>
      </c>
      <c r="F216" s="69">
        <f>F205/F211</f>
        <v>2.0690094219505979</v>
      </c>
      <c r="G216" s="69">
        <f>G205/G211</f>
        <v>3.1035141329258971</v>
      </c>
      <c r="H216" s="69">
        <f>H205/H211</f>
        <v>3.8992869875222809</v>
      </c>
      <c r="J216"/>
      <c r="K216" s="160"/>
      <c r="L216" s="160"/>
    </row>
    <row r="217" spans="1:12" x14ac:dyDescent="0.25">
      <c r="A217" s="67" t="s">
        <v>57</v>
      </c>
      <c r="B217" s="313"/>
      <c r="C217" s="313"/>
      <c r="D217" s="68" t="s">
        <v>58</v>
      </c>
      <c r="E217" s="70" t="s">
        <v>2</v>
      </c>
      <c r="F217" s="69">
        <f>F216^2*0.056</f>
        <v>0.23972479933473945</v>
      </c>
      <c r="G217" s="69">
        <f>G216^2*0.056</f>
        <v>0.53938079850316378</v>
      </c>
      <c r="H217" s="69">
        <f>H216^2*0.056</f>
        <v>0.85144858461939277</v>
      </c>
      <c r="J217"/>
      <c r="K217" s="160"/>
      <c r="L217" s="160"/>
    </row>
    <row r="218" spans="1:12" x14ac:dyDescent="0.25">
      <c r="A218" s="71" t="s">
        <v>59</v>
      </c>
      <c r="B218" s="314"/>
      <c r="C218" s="314"/>
      <c r="D218" s="72" t="s">
        <v>60</v>
      </c>
      <c r="E218" s="72" t="s">
        <v>2</v>
      </c>
      <c r="F218" s="73">
        <f>(1.5*F217+F206)-0.056*F222^2</f>
        <v>0.75642650425842739</v>
      </c>
      <c r="G218" s="316">
        <f>(1.5*G217+G206)-0.056*G222^2</f>
        <v>1.2077706516370303</v>
      </c>
      <c r="H218" s="73">
        <f>(1.5*H217+H206)-0.056*H222^2</f>
        <v>1.6765738264677328</v>
      </c>
      <c r="J218"/>
      <c r="K218" s="160"/>
      <c r="L218" s="160"/>
    </row>
    <row r="219" spans="1:12" x14ac:dyDescent="0.25">
      <c r="A219" s="27" t="s">
        <v>46</v>
      </c>
      <c r="B219" s="183"/>
      <c r="C219" s="183"/>
      <c r="D219" s="74"/>
      <c r="E219" s="75"/>
      <c r="F219" s="76"/>
      <c r="G219" s="2"/>
      <c r="H219" s="2"/>
      <c r="J219"/>
      <c r="K219" s="160"/>
      <c r="L219" s="160"/>
    </row>
    <row r="220" spans="1:12" x14ac:dyDescent="0.25">
      <c r="A220" s="77" t="s">
        <v>47</v>
      </c>
      <c r="B220" s="315"/>
      <c r="C220" s="315"/>
      <c r="D220" s="78" t="s">
        <v>45</v>
      </c>
      <c r="E220" s="78" t="s">
        <v>2</v>
      </c>
      <c r="F220" s="79">
        <v>0.76</v>
      </c>
      <c r="G220" s="79">
        <v>1.21</v>
      </c>
      <c r="H220" s="79">
        <v>1.68</v>
      </c>
      <c r="J220"/>
      <c r="K220" s="160"/>
      <c r="L220" s="160"/>
    </row>
    <row r="221" spans="1:12" x14ac:dyDescent="0.25">
      <c r="A221" s="32" t="s">
        <v>37</v>
      </c>
      <c r="B221" s="82"/>
      <c r="C221" s="82"/>
      <c r="D221" s="33" t="s">
        <v>3</v>
      </c>
      <c r="E221" s="38" t="s">
        <v>38</v>
      </c>
      <c r="F221" s="48">
        <f>(F209+F210*F220)*F220</f>
        <v>1.0944</v>
      </c>
      <c r="G221" s="48">
        <f>(G209+G210*G220)*G220</f>
        <v>2.5591499999999998</v>
      </c>
      <c r="H221" s="48">
        <f>(H209+H210*H220)*H220</f>
        <v>4.7375999999999996</v>
      </c>
      <c r="J221"/>
      <c r="K221" s="160"/>
      <c r="L221" s="160"/>
    </row>
    <row r="222" spans="1:12" x14ac:dyDescent="0.25">
      <c r="A222" s="42" t="s">
        <v>48</v>
      </c>
      <c r="B222" s="23"/>
      <c r="C222" s="23"/>
      <c r="D222" s="35" t="s">
        <v>49</v>
      </c>
      <c r="E222" s="37" t="s">
        <v>44</v>
      </c>
      <c r="F222" s="50">
        <f>F205/F221</f>
        <v>0.23757309941520469</v>
      </c>
      <c r="G222" s="50">
        <f>G205/G221</f>
        <v>0.15239434968641932</v>
      </c>
      <c r="H222" s="50">
        <f>H205/H221</f>
        <v>0.10342789598108748</v>
      </c>
      <c r="J222"/>
      <c r="K222" s="160"/>
      <c r="L222" s="160"/>
    </row>
    <row r="224" spans="1:12" ht="18" customHeight="1" x14ac:dyDescent="0.25">
      <c r="A224" s="334" t="s">
        <v>151</v>
      </c>
      <c r="B224" s="334"/>
      <c r="C224" s="334"/>
      <c r="D224" s="334"/>
      <c r="E224" s="334"/>
      <c r="F224" s="334"/>
      <c r="G224" s="334"/>
      <c r="H224" s="334"/>
      <c r="I224" s="334"/>
      <c r="J224" s="334"/>
      <c r="K224" s="334"/>
      <c r="L224" s="334"/>
    </row>
    <row r="225" spans="1:12" x14ac:dyDescent="0.25">
      <c r="A225" s="334"/>
      <c r="B225" s="334"/>
      <c r="C225" s="334"/>
      <c r="D225" s="334"/>
      <c r="E225" s="334"/>
      <c r="F225" s="334"/>
      <c r="G225" s="334"/>
      <c r="H225" s="334"/>
      <c r="I225" s="334"/>
      <c r="J225" s="334"/>
      <c r="K225" s="334"/>
      <c r="L225" s="334"/>
    </row>
    <row r="246" spans="1:6" ht="18.75" x14ac:dyDescent="0.3">
      <c r="A246" s="153" t="s">
        <v>117</v>
      </c>
    </row>
    <row r="247" spans="1:6" ht="15.75" x14ac:dyDescent="0.25">
      <c r="A247" s="20" t="s">
        <v>118</v>
      </c>
    </row>
    <row r="248" spans="1:6" x14ac:dyDescent="0.25">
      <c r="A248" t="s">
        <v>120</v>
      </c>
    </row>
    <row r="249" spans="1:6" x14ac:dyDescent="0.25">
      <c r="A249" t="s">
        <v>119</v>
      </c>
    </row>
    <row r="250" spans="1:6" ht="15.75" x14ac:dyDescent="0.25">
      <c r="A250" s="155" t="s">
        <v>140</v>
      </c>
      <c r="B250" s="156"/>
      <c r="C250" s="156"/>
    </row>
    <row r="251" spans="1:6" ht="15.75" thickBot="1" x14ac:dyDescent="0.3"/>
    <row r="252" spans="1:6" x14ac:dyDescent="0.25">
      <c r="A252" s="14" t="s">
        <v>20</v>
      </c>
      <c r="B252" s="4">
        <v>2</v>
      </c>
      <c r="C252" s="4">
        <v>10</v>
      </c>
      <c r="D252" s="4">
        <v>20</v>
      </c>
      <c r="E252" s="4">
        <v>50</v>
      </c>
      <c r="F252" s="15">
        <v>100</v>
      </c>
    </row>
    <row r="253" spans="1:6" ht="19.5" thickBot="1" x14ac:dyDescent="0.4">
      <c r="A253" s="10" t="s">
        <v>21</v>
      </c>
      <c r="B253" s="80">
        <v>0.03</v>
      </c>
      <c r="C253" s="80">
        <v>0.21</v>
      </c>
      <c r="D253" s="80">
        <v>0.31</v>
      </c>
      <c r="E253" s="80">
        <v>0.44</v>
      </c>
      <c r="F253" s="81">
        <v>0.55000000000000004</v>
      </c>
    </row>
    <row r="255" spans="1:6" ht="15.75" thickBot="1" x14ac:dyDescent="0.3">
      <c r="A255" s="157" t="s">
        <v>125</v>
      </c>
    </row>
    <row r="256" spans="1:6" x14ac:dyDescent="0.25">
      <c r="A256" s="11" t="s">
        <v>13</v>
      </c>
      <c r="B256" s="12">
        <v>1.5</v>
      </c>
      <c r="C256" s="13"/>
    </row>
    <row r="257" spans="1:12" x14ac:dyDescent="0.25">
      <c r="A257" s="5" t="s">
        <v>14</v>
      </c>
      <c r="B257" s="2">
        <v>0.3</v>
      </c>
      <c r="C257" s="6" t="s">
        <v>2</v>
      </c>
    </row>
    <row r="258" spans="1:12" x14ac:dyDescent="0.25">
      <c r="A258" s="5" t="s">
        <v>15</v>
      </c>
      <c r="B258" s="2">
        <v>3.2000000000000001E-2</v>
      </c>
      <c r="C258" s="6"/>
      <c r="D258" t="s">
        <v>126</v>
      </c>
    </row>
    <row r="259" spans="1:12" ht="15.75" thickBot="1" x14ac:dyDescent="0.3">
      <c r="A259" s="177" t="s">
        <v>16</v>
      </c>
      <c r="B259" s="178">
        <v>0.53</v>
      </c>
      <c r="C259" s="179" t="s">
        <v>17</v>
      </c>
    </row>
    <row r="260" spans="1:12" ht="18" x14ac:dyDescent="0.35">
      <c r="A260" s="14" t="s">
        <v>0</v>
      </c>
      <c r="B260" s="4" t="s">
        <v>3</v>
      </c>
      <c r="C260" s="4" t="s">
        <v>4</v>
      </c>
      <c r="D260" s="4" t="s">
        <v>5</v>
      </c>
      <c r="E260" s="4" t="s">
        <v>6</v>
      </c>
      <c r="F260" s="145" t="s">
        <v>7</v>
      </c>
      <c r="G260" s="239" t="s">
        <v>8</v>
      </c>
      <c r="H260" s="216" t="s">
        <v>9</v>
      </c>
      <c r="I260" s="211" t="s">
        <v>10</v>
      </c>
      <c r="J260" s="21" t="s">
        <v>61</v>
      </c>
      <c r="K260" s="157" t="s">
        <v>124</v>
      </c>
    </row>
    <row r="261" spans="1:12" ht="18" thickBot="1" x14ac:dyDescent="0.3">
      <c r="A261" s="141" t="s">
        <v>1</v>
      </c>
      <c r="B261" s="142" t="s">
        <v>18</v>
      </c>
      <c r="C261" s="142" t="s">
        <v>1</v>
      </c>
      <c r="D261" s="142" t="s">
        <v>1</v>
      </c>
      <c r="E261" s="142" t="s">
        <v>123</v>
      </c>
      <c r="F261" s="146" t="s">
        <v>11</v>
      </c>
      <c r="G261" s="240" t="s">
        <v>19</v>
      </c>
      <c r="H261" s="217"/>
      <c r="I261" s="212" t="s">
        <v>12</v>
      </c>
      <c r="J261" s="143" t="s">
        <v>12</v>
      </c>
    </row>
    <row r="262" spans="1:12" ht="15.75" thickBot="1" x14ac:dyDescent="0.3">
      <c r="A262" s="244">
        <v>0</v>
      </c>
      <c r="B262" s="144">
        <f>($B$257+$B$256*A262)*A262</f>
        <v>0</v>
      </c>
      <c r="C262" s="144">
        <f>$B$257+2*A262*SQRT(1+$B$256^2)</f>
        <v>0.3</v>
      </c>
      <c r="D262" s="144">
        <f>B262/C262</f>
        <v>0</v>
      </c>
      <c r="E262" s="144">
        <f>(1/$B$258)*D262^(1/6)</f>
        <v>0</v>
      </c>
      <c r="F262" s="243">
        <f>E262*SQRT(D262*$B$259/100)</f>
        <v>0</v>
      </c>
      <c r="G262" s="245">
        <f>F262*B262</f>
        <v>0</v>
      </c>
      <c r="H262" s="246" t="s">
        <v>22</v>
      </c>
      <c r="I262" s="144">
        <f>98.06*D262*$B$259</f>
        <v>0</v>
      </c>
      <c r="J262" s="164">
        <f>(I262*($B$257+2*K262))/(1.13*$B$257+1.33*K262)</f>
        <v>0</v>
      </c>
      <c r="K262" s="165">
        <f>A262*SQRT(1+$B$256^2)</f>
        <v>0</v>
      </c>
    </row>
    <row r="263" spans="1:12" ht="15.75" thickBot="1" x14ac:dyDescent="0.3">
      <c r="A263" s="247">
        <v>0.05</v>
      </c>
      <c r="B263" s="3">
        <f t="shared" ref="B263:B274" si="60">($B$257+$B$256*A263)*A263</f>
        <v>1.8750000000000003E-2</v>
      </c>
      <c r="C263" s="3">
        <f t="shared" ref="C263:C274" si="61">$B$257+2*A263*SQRT(1+$B$256^2)</f>
        <v>0.48027756377319947</v>
      </c>
      <c r="D263" s="3">
        <f t="shared" ref="D263:D268" si="62">B263/C263</f>
        <v>3.9039924856565399E-2</v>
      </c>
      <c r="E263" s="3">
        <f t="shared" ref="E263:E274" si="63">(1/$B$258)*D263^(1/6)</f>
        <v>18.201262669945809</v>
      </c>
      <c r="F263" s="147">
        <f t="shared" ref="F263:F274" si="64">E263*SQRT(D263*$B$259/100)</f>
        <v>0.26181464663535448</v>
      </c>
      <c r="G263" s="241">
        <f t="shared" ref="G263:G268" si="65">F263*B263</f>
        <v>4.9090246244128969E-3</v>
      </c>
      <c r="H263" s="149">
        <f>(1.1*F263^2)/(9.81*A263)</f>
        <v>0.15372395537629988</v>
      </c>
      <c r="I263" s="3">
        <f t="shared" ref="I263:I274" si="66">98.06*D263*$B$259</f>
        <v>2.0289751666604459</v>
      </c>
      <c r="J263" s="18">
        <f t="shared" ref="J263:J274" si="67">(I263*($B$257+2*K263))/(1.13*$B$257+1.33*K263)</f>
        <v>2.1235650371883654</v>
      </c>
      <c r="K263" s="165">
        <f t="shared" ref="K263:K274" si="68">A263*SQRT(1+$B$256^2)</f>
        <v>9.0138781886599739E-2</v>
      </c>
    </row>
    <row r="264" spans="1:12" ht="15.75" thickBot="1" x14ac:dyDescent="0.3">
      <c r="A264" s="247">
        <v>0.1</v>
      </c>
      <c r="B264" s="3">
        <f t="shared" si="60"/>
        <v>4.5000000000000005E-2</v>
      </c>
      <c r="C264" s="3">
        <f t="shared" si="61"/>
        <v>0.660555127546399</v>
      </c>
      <c r="D264" s="3">
        <f t="shared" si="62"/>
        <v>6.812451848969879E-2</v>
      </c>
      <c r="E264" s="3">
        <f t="shared" si="63"/>
        <v>19.971036065360501</v>
      </c>
      <c r="F264" s="147">
        <f t="shared" si="64"/>
        <v>0.37948118981762224</v>
      </c>
      <c r="G264" s="241">
        <f t="shared" si="65"/>
        <v>1.7076653541793003E-2</v>
      </c>
      <c r="H264" s="149">
        <f t="shared" ref="H264:H274" si="69">(1.1*F264^2)/(9.81*A264)</f>
        <v>0.16147458793877481</v>
      </c>
      <c r="I264" s="3">
        <f t="shared" si="66"/>
        <v>3.5405538500429281</v>
      </c>
      <c r="J264" s="18">
        <f t="shared" si="67"/>
        <v>4.040870112592045</v>
      </c>
      <c r="K264" s="165">
        <f t="shared" si="68"/>
        <v>0.18027756377319948</v>
      </c>
    </row>
    <row r="265" spans="1:12" ht="18.75" thickBot="1" x14ac:dyDescent="0.4">
      <c r="A265" s="249">
        <v>0.14000000000000001</v>
      </c>
      <c r="B265" s="3">
        <f t="shared" si="60"/>
        <v>7.1400000000000005E-2</v>
      </c>
      <c r="C265" s="3">
        <f t="shared" si="61"/>
        <v>0.80477717856495845</v>
      </c>
      <c r="D265" s="3">
        <f t="shared" si="62"/>
        <v>8.8720209645255094E-2</v>
      </c>
      <c r="E265" s="3">
        <f t="shared" si="63"/>
        <v>20.869903850795129</v>
      </c>
      <c r="F265" s="147">
        <f t="shared" si="64"/>
        <v>0.45255322354776006</v>
      </c>
      <c r="G265" s="241">
        <f t="shared" si="65"/>
        <v>3.2312300161310072E-2</v>
      </c>
      <c r="H265" s="149">
        <f t="shared" si="69"/>
        <v>0.16403441252207351</v>
      </c>
      <c r="I265" s="3">
        <f t="shared" si="66"/>
        <v>4.6109489916412691</v>
      </c>
      <c r="J265" s="18">
        <f t="shared" si="67"/>
        <v>5.5000948445187579</v>
      </c>
      <c r="K265" s="165">
        <f t="shared" si="68"/>
        <v>0.25238858928247926</v>
      </c>
      <c r="L265" s="1" t="s">
        <v>131</v>
      </c>
    </row>
    <row r="266" spans="1:12" ht="15.75" thickBot="1" x14ac:dyDescent="0.3">
      <c r="A266" s="247">
        <v>0.25</v>
      </c>
      <c r="B266" s="3">
        <f t="shared" si="60"/>
        <v>0.16875000000000001</v>
      </c>
      <c r="C266" s="3">
        <f t="shared" si="61"/>
        <v>1.2013878188659972</v>
      </c>
      <c r="D266" s="3">
        <f t="shared" si="62"/>
        <v>0.14046255284932466</v>
      </c>
      <c r="E266" s="3">
        <f t="shared" si="63"/>
        <v>22.53080875490102</v>
      </c>
      <c r="F266" s="147">
        <f t="shared" si="64"/>
        <v>0.61474498521304033</v>
      </c>
      <c r="G266" s="241">
        <f t="shared" si="65"/>
        <v>0.10373821625470056</v>
      </c>
      <c r="H266" s="149">
        <f t="shared" si="69"/>
        <v>0.16950154394660114</v>
      </c>
      <c r="I266" s="3">
        <f t="shared" si="66"/>
        <v>7.3000917041745312</v>
      </c>
      <c r="J266" s="18">
        <f t="shared" si="67"/>
        <v>9.3457238247745291</v>
      </c>
      <c r="K266" s="165">
        <f t="shared" si="68"/>
        <v>0.45069390943299864</v>
      </c>
    </row>
    <row r="267" spans="1:12" ht="15.75" thickBot="1" x14ac:dyDescent="0.3">
      <c r="A267" s="247">
        <v>0.3</v>
      </c>
      <c r="B267" s="3">
        <f t="shared" si="60"/>
        <v>0.22499999999999998</v>
      </c>
      <c r="C267" s="3">
        <f t="shared" si="61"/>
        <v>1.3816653826391967</v>
      </c>
      <c r="D267" s="3">
        <f t="shared" si="62"/>
        <v>0.16284695471649932</v>
      </c>
      <c r="E267" s="3">
        <f t="shared" si="63"/>
        <v>23.092979069745102</v>
      </c>
      <c r="F267" s="147">
        <f t="shared" si="64"/>
        <v>0.67843417632280689</v>
      </c>
      <c r="G267" s="241">
        <f t="shared" si="65"/>
        <v>0.15264768967263154</v>
      </c>
      <c r="H267" s="149">
        <f t="shared" si="69"/>
        <v>0.17203541446248249</v>
      </c>
      <c r="I267" s="3">
        <f t="shared" si="66"/>
        <v>8.4634493611349608</v>
      </c>
      <c r="J267" s="18">
        <f t="shared" si="67"/>
        <v>11.04939275872943</v>
      </c>
      <c r="K267" s="165">
        <f t="shared" si="68"/>
        <v>0.54083269131959832</v>
      </c>
    </row>
    <row r="268" spans="1:12" ht="18.75" thickBot="1" x14ac:dyDescent="0.4">
      <c r="A268" s="248">
        <v>0.35</v>
      </c>
      <c r="B268" s="3">
        <f t="shared" si="60"/>
        <v>0.28874999999999995</v>
      </c>
      <c r="C268" s="3">
        <f t="shared" si="61"/>
        <v>1.5619429464123962</v>
      </c>
      <c r="D268" s="162">
        <f t="shared" si="62"/>
        <v>0.18486590733882155</v>
      </c>
      <c r="E268" s="3">
        <f t="shared" si="63"/>
        <v>23.586282330731201</v>
      </c>
      <c r="F268" s="147">
        <f t="shared" si="64"/>
        <v>0.73828805337835857</v>
      </c>
      <c r="G268" s="241">
        <f t="shared" si="65"/>
        <v>0.21318067541300101</v>
      </c>
      <c r="H268" s="168">
        <f t="shared" si="69"/>
        <v>0.17462536034289405</v>
      </c>
      <c r="I268" s="3">
        <f t="shared" si="66"/>
        <v>9.6078139630317665</v>
      </c>
      <c r="J268" s="18">
        <f t="shared" si="67"/>
        <v>12.737190961970793</v>
      </c>
      <c r="K268" s="165">
        <f t="shared" si="68"/>
        <v>0.63097147320619806</v>
      </c>
      <c r="L268" s="1" t="s">
        <v>130</v>
      </c>
    </row>
    <row r="269" spans="1:12" ht="18.75" thickBot="1" x14ac:dyDescent="0.4">
      <c r="A269" s="249">
        <v>0.41499999999999998</v>
      </c>
      <c r="B269" s="3">
        <f t="shared" si="60"/>
        <v>0.38283749999999994</v>
      </c>
      <c r="C269" s="3">
        <f t="shared" si="61"/>
        <v>1.7963037793175554</v>
      </c>
      <c r="D269" s="3">
        <f>B269/C269</f>
        <v>0.2131251430899099</v>
      </c>
      <c r="E269" s="3">
        <f t="shared" si="63"/>
        <v>24.152150318942343</v>
      </c>
      <c r="F269" s="147">
        <f t="shared" si="64"/>
        <v>0.81172903704305743</v>
      </c>
      <c r="G269" s="241">
        <f>F269*B269</f>
        <v>0.31076031521897146</v>
      </c>
      <c r="H269" s="149">
        <f t="shared" si="69"/>
        <v>0.17803186631215609</v>
      </c>
      <c r="I269" s="3">
        <f t="shared" si="66"/>
        <v>11.07649731164018</v>
      </c>
      <c r="J269" s="18">
        <f t="shared" si="67"/>
        <v>14.914638208495759</v>
      </c>
      <c r="K269" s="165">
        <f t="shared" si="68"/>
        <v>0.74815188965877766</v>
      </c>
      <c r="L269" s="1" t="s">
        <v>129</v>
      </c>
    </row>
    <row r="270" spans="1:12" ht="18.75" thickBot="1" x14ac:dyDescent="0.4">
      <c r="A270" s="249">
        <v>0.48499999999999999</v>
      </c>
      <c r="B270" s="3">
        <f t="shared" si="60"/>
        <v>0.49833750000000004</v>
      </c>
      <c r="C270" s="3">
        <f t="shared" si="61"/>
        <v>2.0486923686000345</v>
      </c>
      <c r="D270" s="3">
        <f t="shared" ref="D270:D274" si="70">B270/C270</f>
        <v>0.24324662288879267</v>
      </c>
      <c r="E270" s="3">
        <f t="shared" si="63"/>
        <v>24.690193387839738</v>
      </c>
      <c r="F270" s="147">
        <f t="shared" si="64"/>
        <v>0.88651448514491393</v>
      </c>
      <c r="G270" s="241">
        <f t="shared" ref="G270:G274" si="71">F270*B270</f>
        <v>0.44178341224090356</v>
      </c>
      <c r="H270" s="149">
        <f t="shared" si="69"/>
        <v>0.18169944945908909</v>
      </c>
      <c r="I270" s="3">
        <f t="shared" si="66"/>
        <v>12.641964835451756</v>
      </c>
      <c r="J270" s="18">
        <f t="shared" si="67"/>
        <v>17.244712994010481</v>
      </c>
      <c r="K270" s="165">
        <f t="shared" si="68"/>
        <v>0.87434618430001732</v>
      </c>
      <c r="L270" s="1" t="s">
        <v>127</v>
      </c>
    </row>
    <row r="271" spans="1:12" ht="18.75" thickBot="1" x14ac:dyDescent="0.4">
      <c r="A271" s="249">
        <v>0.53500000000000003</v>
      </c>
      <c r="B271" s="3">
        <f t="shared" si="60"/>
        <v>0.58983750000000001</v>
      </c>
      <c r="C271" s="3">
        <f t="shared" si="61"/>
        <v>2.2289699323732344</v>
      </c>
      <c r="D271" s="3">
        <f t="shared" si="70"/>
        <v>0.26462335423788635</v>
      </c>
      <c r="E271" s="3">
        <f t="shared" si="63"/>
        <v>25.039253864742886</v>
      </c>
      <c r="F271" s="147">
        <f t="shared" si="64"/>
        <v>0.93772048429280441</v>
      </c>
      <c r="G271" s="241">
        <f t="shared" si="71"/>
        <v>0.55310270615405699</v>
      </c>
      <c r="H271" s="149">
        <f t="shared" si="69"/>
        <v>0.18429633643498716</v>
      </c>
      <c r="I271" s="3">
        <f t="shared" si="66"/>
        <v>13.752952041780583</v>
      </c>
      <c r="J271" s="18">
        <f t="shared" si="67"/>
        <v>18.902193898287344</v>
      </c>
      <c r="K271" s="165">
        <f t="shared" si="68"/>
        <v>0.96448496618661717</v>
      </c>
      <c r="L271" s="1" t="s">
        <v>128</v>
      </c>
    </row>
    <row r="272" spans="1:12" ht="15.75" thickBot="1" x14ac:dyDescent="0.3">
      <c r="A272" s="247">
        <v>0.6</v>
      </c>
      <c r="B272" s="3">
        <f t="shared" si="60"/>
        <v>0.72</v>
      </c>
      <c r="C272" s="3">
        <f t="shared" si="61"/>
        <v>2.4633307652783931</v>
      </c>
      <c r="D272" s="3">
        <f t="shared" si="70"/>
        <v>0.29228717886719902</v>
      </c>
      <c r="E272" s="3">
        <f t="shared" si="63"/>
        <v>25.457650267414781</v>
      </c>
      <c r="F272" s="147">
        <f t="shared" si="64"/>
        <v>1.0019848002497147</v>
      </c>
      <c r="G272" s="241">
        <f t="shared" si="71"/>
        <v>0.72142905617979458</v>
      </c>
      <c r="H272" s="149">
        <f t="shared" si="69"/>
        <v>0.18762672339867598</v>
      </c>
      <c r="I272" s="3">
        <f t="shared" si="66"/>
        <v>15.190690802650295</v>
      </c>
      <c r="J272" s="18">
        <f t="shared" si="67"/>
        <v>21.050506923581629</v>
      </c>
      <c r="K272" s="165">
        <f t="shared" si="68"/>
        <v>1.0816653826391966</v>
      </c>
    </row>
    <row r="273" spans="1:11" ht="15.75" thickBot="1" x14ac:dyDescent="0.3">
      <c r="A273" s="247">
        <v>0.7</v>
      </c>
      <c r="B273" s="3">
        <f t="shared" si="60"/>
        <v>0.94499999999999984</v>
      </c>
      <c r="C273" s="3">
        <f t="shared" si="61"/>
        <v>2.8238858928247921</v>
      </c>
      <c r="D273" s="3">
        <f t="shared" si="70"/>
        <v>0.3346452497960874</v>
      </c>
      <c r="E273" s="3">
        <f t="shared" si="63"/>
        <v>26.038390295896917</v>
      </c>
      <c r="F273" s="147">
        <f t="shared" si="64"/>
        <v>1.0965902990765259</v>
      </c>
      <c r="G273" s="241">
        <f t="shared" si="71"/>
        <v>1.0362778326273168</v>
      </c>
      <c r="H273" s="149">
        <f t="shared" si="69"/>
        <v>0.1926257918205358</v>
      </c>
      <c r="I273" s="3">
        <f t="shared" si="66"/>
        <v>17.392115993352295</v>
      </c>
      <c r="J273" s="18">
        <f t="shared" si="67"/>
        <v>24.345066734715381</v>
      </c>
      <c r="K273" s="165">
        <f t="shared" si="68"/>
        <v>1.2619429464123961</v>
      </c>
    </row>
    <row r="274" spans="1:11" ht="15.75" thickBot="1" x14ac:dyDescent="0.3">
      <c r="A274" s="250">
        <v>0.8</v>
      </c>
      <c r="B274" s="7">
        <f t="shared" si="60"/>
        <v>1.2000000000000002</v>
      </c>
      <c r="C274" s="7">
        <f t="shared" si="61"/>
        <v>3.1844410203711915</v>
      </c>
      <c r="D274" s="7">
        <f t="shared" si="70"/>
        <v>0.37683222654257958</v>
      </c>
      <c r="E274" s="7">
        <f t="shared" si="63"/>
        <v>26.558774268461622</v>
      </c>
      <c r="F274" s="148">
        <f t="shared" si="64"/>
        <v>1.1869159902742461</v>
      </c>
      <c r="G274" s="242">
        <f t="shared" si="71"/>
        <v>1.4242991883290956</v>
      </c>
      <c r="H274" s="150">
        <f t="shared" si="69"/>
        <v>0.19745750825249281</v>
      </c>
      <c r="I274" s="7">
        <f t="shared" si="66"/>
        <v>19.584649111425641</v>
      </c>
      <c r="J274" s="19">
        <f t="shared" si="67"/>
        <v>27.630449643256579</v>
      </c>
      <c r="K274" s="165">
        <f t="shared" si="68"/>
        <v>1.4422205101855958</v>
      </c>
    </row>
    <row r="293" spans="1:12" ht="15.75" thickBot="1" x14ac:dyDescent="0.3">
      <c r="A293" s="157" t="s">
        <v>132</v>
      </c>
    </row>
    <row r="294" spans="1:12" x14ac:dyDescent="0.25">
      <c r="A294" s="11" t="s">
        <v>13</v>
      </c>
      <c r="B294" s="12">
        <v>1.5</v>
      </c>
      <c r="C294" s="13"/>
    </row>
    <row r="295" spans="1:12" x14ac:dyDescent="0.25">
      <c r="A295" s="5" t="s">
        <v>14</v>
      </c>
      <c r="B295" s="2">
        <v>0.3</v>
      </c>
      <c r="C295" s="6" t="s">
        <v>2</v>
      </c>
    </row>
    <row r="296" spans="1:12" x14ac:dyDescent="0.25">
      <c r="A296" s="5" t="s">
        <v>15</v>
      </c>
      <c r="B296" s="2">
        <v>3.2000000000000001E-2</v>
      </c>
      <c r="C296" s="6"/>
      <c r="D296" t="s">
        <v>126</v>
      </c>
    </row>
    <row r="297" spans="1:12" ht="15.75" thickBot="1" x14ac:dyDescent="0.3">
      <c r="A297" s="177" t="s">
        <v>16</v>
      </c>
      <c r="B297" s="178">
        <v>2.8</v>
      </c>
      <c r="C297" s="179" t="s">
        <v>17</v>
      </c>
    </row>
    <row r="298" spans="1:12" ht="18" x14ac:dyDescent="0.35">
      <c r="A298" s="14" t="s">
        <v>0</v>
      </c>
      <c r="B298" s="4" t="s">
        <v>3</v>
      </c>
      <c r="C298" s="4" t="s">
        <v>4</v>
      </c>
      <c r="D298" s="4" t="s">
        <v>5</v>
      </c>
      <c r="E298" s="4" t="s">
        <v>6</v>
      </c>
      <c r="F298" s="145" t="s">
        <v>7</v>
      </c>
      <c r="G298" s="239" t="s">
        <v>8</v>
      </c>
      <c r="H298" s="216" t="s">
        <v>9</v>
      </c>
      <c r="I298" s="211" t="s">
        <v>10</v>
      </c>
      <c r="J298" s="21" t="s">
        <v>61</v>
      </c>
      <c r="K298" s="157" t="s">
        <v>124</v>
      </c>
    </row>
    <row r="299" spans="1:12" ht="18" thickBot="1" x14ac:dyDescent="0.3">
      <c r="A299" s="141" t="s">
        <v>1</v>
      </c>
      <c r="B299" s="142" t="s">
        <v>18</v>
      </c>
      <c r="C299" s="142" t="s">
        <v>1</v>
      </c>
      <c r="D299" s="142" t="s">
        <v>1</v>
      </c>
      <c r="E299" s="142" t="s">
        <v>123</v>
      </c>
      <c r="F299" s="146" t="s">
        <v>11</v>
      </c>
      <c r="G299" s="240" t="s">
        <v>19</v>
      </c>
      <c r="H299" s="217"/>
      <c r="I299" s="212" t="s">
        <v>12</v>
      </c>
      <c r="J299" s="143" t="s">
        <v>12</v>
      </c>
    </row>
    <row r="300" spans="1:12" x14ac:dyDescent="0.25">
      <c r="A300" s="244">
        <v>0</v>
      </c>
      <c r="B300" s="144">
        <f t="shared" ref="B300:B310" si="72">($B$295+$B$294*A300)*A300</f>
        <v>0</v>
      </c>
      <c r="C300" s="144">
        <f t="shared" ref="C300:C310" si="73">$B$295+2*A300*SQRT(1+$B$294^2)</f>
        <v>0.3</v>
      </c>
      <c r="D300" s="144">
        <f>B300/C300</f>
        <v>0</v>
      </c>
      <c r="E300" s="144">
        <f t="shared" ref="E300:E310" si="74">(1/$B$296)*D300^(1/6)</f>
        <v>0</v>
      </c>
      <c r="F300" s="243">
        <f t="shared" ref="F300:F310" si="75">E300*SQRT(D300*$B$297/100)</f>
        <v>0</v>
      </c>
      <c r="G300" s="245">
        <f>F300*B300</f>
        <v>0</v>
      </c>
      <c r="H300" s="246" t="s">
        <v>22</v>
      </c>
      <c r="I300" s="144">
        <f t="shared" ref="I300:I310" si="76">98.06*D300*$B$297</f>
        <v>0</v>
      </c>
      <c r="J300" s="164">
        <f t="shared" ref="J300:J310" si="77">(I300*($B$295+2*K300))/(1.13*$B$295+1.33*K300)</f>
        <v>0</v>
      </c>
      <c r="K300" s="165">
        <f t="shared" ref="K300:K310" si="78">A300*SQRT(1+$B$294^2)</f>
        <v>0</v>
      </c>
    </row>
    <row r="301" spans="1:12" x14ac:dyDescent="0.25">
      <c r="A301" s="247">
        <v>0.05</v>
      </c>
      <c r="B301" s="3">
        <f t="shared" si="72"/>
        <v>1.8750000000000003E-2</v>
      </c>
      <c r="C301" s="3">
        <f t="shared" si="73"/>
        <v>0.48027756377319947</v>
      </c>
      <c r="D301" s="3">
        <f t="shared" ref="D301:D306" si="79">B301/C301</f>
        <v>3.9039924856565399E-2</v>
      </c>
      <c r="E301" s="3">
        <f t="shared" si="74"/>
        <v>18.201262669945809</v>
      </c>
      <c r="F301" s="147">
        <f t="shared" si="75"/>
        <v>0.60177621638234258</v>
      </c>
      <c r="G301" s="241">
        <f t="shared" ref="G301:G306" si="80">F301*B301</f>
        <v>1.1283304057168925E-2</v>
      </c>
      <c r="H301" s="149">
        <f>(1.1*F301^2)/(9.81*A301)</f>
        <v>0.81212655670498013</v>
      </c>
      <c r="I301" s="3">
        <f t="shared" si="76"/>
        <v>10.719114088017449</v>
      </c>
      <c r="J301" s="18">
        <f t="shared" si="77"/>
        <v>11.218834158730987</v>
      </c>
      <c r="K301" s="166">
        <f t="shared" si="78"/>
        <v>9.0138781886599739E-2</v>
      </c>
    </row>
    <row r="302" spans="1:12" x14ac:dyDescent="0.25">
      <c r="A302" s="247">
        <v>0.1</v>
      </c>
      <c r="B302" s="3">
        <f t="shared" si="72"/>
        <v>4.5000000000000005E-2</v>
      </c>
      <c r="C302" s="3">
        <f t="shared" si="73"/>
        <v>0.660555127546399</v>
      </c>
      <c r="D302" s="3">
        <f t="shared" si="79"/>
        <v>6.812451848969879E-2</v>
      </c>
      <c r="E302" s="3">
        <f t="shared" si="74"/>
        <v>19.971036065360501</v>
      </c>
      <c r="F302" s="147">
        <f t="shared" si="75"/>
        <v>0.8722306315993591</v>
      </c>
      <c r="G302" s="241">
        <f t="shared" si="80"/>
        <v>3.9250378421971162E-2</v>
      </c>
      <c r="H302" s="149">
        <f t="shared" ref="H302:H310" si="81">(1.1*F302^2)/(9.81*A302)</f>
        <v>0.85307329477088545</v>
      </c>
      <c r="I302" s="3">
        <f t="shared" si="76"/>
        <v>18.704812792679618</v>
      </c>
      <c r="J302" s="18">
        <f t="shared" si="77"/>
        <v>21.347993047656082</v>
      </c>
      <c r="K302" s="166">
        <f t="shared" si="78"/>
        <v>0.18027756377319948</v>
      </c>
    </row>
    <row r="303" spans="1:12" x14ac:dyDescent="0.25">
      <c r="A303" s="247">
        <v>0.14000000000000001</v>
      </c>
      <c r="B303" s="3">
        <f t="shared" si="72"/>
        <v>7.1400000000000005E-2</v>
      </c>
      <c r="C303" s="3">
        <f t="shared" si="73"/>
        <v>0.80477717856495845</v>
      </c>
      <c r="D303" s="3">
        <f t="shared" si="79"/>
        <v>8.8720209645255094E-2</v>
      </c>
      <c r="E303" s="3">
        <f t="shared" si="74"/>
        <v>20.869903850795129</v>
      </c>
      <c r="F303" s="147">
        <f t="shared" si="75"/>
        <v>1.0401853757154482</v>
      </c>
      <c r="G303" s="241">
        <f t="shared" si="80"/>
        <v>7.426923582608301E-2</v>
      </c>
      <c r="H303" s="149">
        <f t="shared" si="81"/>
        <v>0.86659689634302983</v>
      </c>
      <c r="I303" s="3">
        <f t="shared" si="76"/>
        <v>24.359730521878401</v>
      </c>
      <c r="J303" s="18">
        <f t="shared" si="77"/>
        <v>29.057104838967017</v>
      </c>
      <c r="K303" s="166">
        <f t="shared" si="78"/>
        <v>0.25238858928247926</v>
      </c>
      <c r="L303" s="1"/>
    </row>
    <row r="304" spans="1:12" x14ac:dyDescent="0.25">
      <c r="A304" s="247">
        <v>0.25</v>
      </c>
      <c r="B304" s="3">
        <f t="shared" si="72"/>
        <v>0.16875000000000001</v>
      </c>
      <c r="C304" s="3">
        <f t="shared" si="73"/>
        <v>1.2013878188659972</v>
      </c>
      <c r="D304" s="3">
        <f t="shared" si="79"/>
        <v>0.14046255284932466</v>
      </c>
      <c r="E304" s="3">
        <f t="shared" si="74"/>
        <v>22.53080875490102</v>
      </c>
      <c r="F304" s="147">
        <f t="shared" si="75"/>
        <v>1.4129801979977059</v>
      </c>
      <c r="G304" s="241">
        <f t="shared" si="80"/>
        <v>0.23844040841211289</v>
      </c>
      <c r="H304" s="149">
        <f t="shared" si="81"/>
        <v>0.89547985481223225</v>
      </c>
      <c r="I304" s="3">
        <f t="shared" si="76"/>
        <v>38.566522210733368</v>
      </c>
      <c r="J304" s="18">
        <f t="shared" si="77"/>
        <v>49.373635300695611</v>
      </c>
      <c r="K304" s="166">
        <f t="shared" si="78"/>
        <v>0.45069390943299864</v>
      </c>
    </row>
    <row r="305" spans="1:12" x14ac:dyDescent="0.25">
      <c r="A305" s="247">
        <v>0.3</v>
      </c>
      <c r="B305" s="3">
        <f t="shared" si="72"/>
        <v>0.22499999999999998</v>
      </c>
      <c r="C305" s="3">
        <f t="shared" si="73"/>
        <v>1.3816653826391967</v>
      </c>
      <c r="D305" s="3">
        <f t="shared" si="79"/>
        <v>0.16284695471649932</v>
      </c>
      <c r="E305" s="3">
        <f t="shared" si="74"/>
        <v>23.092979069745102</v>
      </c>
      <c r="F305" s="147">
        <f t="shared" si="75"/>
        <v>1.5593686485409906</v>
      </c>
      <c r="G305" s="241">
        <f t="shared" si="80"/>
        <v>0.35085794592172281</v>
      </c>
      <c r="H305" s="149">
        <f t="shared" si="81"/>
        <v>0.90886634055651072</v>
      </c>
      <c r="I305" s="3">
        <f t="shared" si="76"/>
        <v>44.712562662599787</v>
      </c>
      <c r="J305" s="18">
        <f t="shared" si="77"/>
        <v>58.37415042347623</v>
      </c>
      <c r="K305" s="166">
        <f t="shared" si="78"/>
        <v>0.54083269131959832</v>
      </c>
    </row>
    <row r="306" spans="1:12" ht="18" x14ac:dyDescent="0.35">
      <c r="A306" s="248">
        <v>0.33200000000000002</v>
      </c>
      <c r="B306" s="3">
        <f t="shared" si="72"/>
        <v>0.264936</v>
      </c>
      <c r="C306" s="3">
        <f t="shared" si="73"/>
        <v>1.4970430234540444</v>
      </c>
      <c r="D306" s="162">
        <f t="shared" si="79"/>
        <v>0.17697286975008097</v>
      </c>
      <c r="E306" s="3">
        <f t="shared" si="74"/>
        <v>23.415376066951222</v>
      </c>
      <c r="F306" s="147">
        <f t="shared" si="75"/>
        <v>1.6482895285272117</v>
      </c>
      <c r="G306" s="241">
        <f t="shared" si="80"/>
        <v>0.43669123452988534</v>
      </c>
      <c r="H306" s="168">
        <f t="shared" si="81"/>
        <v>0.91759828513985708</v>
      </c>
      <c r="I306" s="3">
        <f t="shared" si="76"/>
        <v>48.59108690154023</v>
      </c>
      <c r="J306" s="18">
        <f t="shared" si="77"/>
        <v>64.088804920713187</v>
      </c>
      <c r="K306" s="166">
        <f t="shared" si="78"/>
        <v>0.59852151172702217</v>
      </c>
      <c r="L306" s="1" t="s">
        <v>127</v>
      </c>
    </row>
    <row r="307" spans="1:12" ht="18" x14ac:dyDescent="0.35">
      <c r="A307" s="249">
        <v>0.37</v>
      </c>
      <c r="B307" s="3">
        <f t="shared" si="72"/>
        <v>0.31634999999999996</v>
      </c>
      <c r="C307" s="3">
        <f t="shared" si="73"/>
        <v>1.634053971921676</v>
      </c>
      <c r="D307" s="3">
        <f>B307/C307</f>
        <v>0.19359825650554666</v>
      </c>
      <c r="E307" s="3">
        <f t="shared" si="74"/>
        <v>23.768417204551</v>
      </c>
      <c r="F307" s="147">
        <f t="shared" si="75"/>
        <v>1.7499675622211872</v>
      </c>
      <c r="G307" s="241">
        <f>F307*B307</f>
        <v>0.5536022383086725</v>
      </c>
      <c r="H307" s="149">
        <f t="shared" si="81"/>
        <v>0.92807259985921742</v>
      </c>
      <c r="I307" s="3">
        <f t="shared" si="76"/>
        <v>53.155886092214935</v>
      </c>
      <c r="J307" s="18">
        <f t="shared" si="77"/>
        <v>70.839520333042231</v>
      </c>
      <c r="K307" s="166">
        <f t="shared" si="78"/>
        <v>0.66702698596083798</v>
      </c>
      <c r="L307" s="1" t="s">
        <v>128</v>
      </c>
    </row>
    <row r="308" spans="1:12" x14ac:dyDescent="0.25">
      <c r="A308" s="247">
        <v>0.6</v>
      </c>
      <c r="B308" s="3">
        <f t="shared" si="72"/>
        <v>0.72</v>
      </c>
      <c r="C308" s="3">
        <f t="shared" si="73"/>
        <v>2.4633307652783931</v>
      </c>
      <c r="D308" s="3">
        <f t="shared" ref="D308:D310" si="82">B308/C308</f>
        <v>0.29228717886719902</v>
      </c>
      <c r="E308" s="3">
        <f t="shared" si="74"/>
        <v>25.457650267414781</v>
      </c>
      <c r="F308" s="147">
        <f t="shared" si="75"/>
        <v>2.3030438889337055</v>
      </c>
      <c r="G308" s="241">
        <f t="shared" ref="G308:G310" si="83">F308*B308</f>
        <v>1.6581916000322678</v>
      </c>
      <c r="H308" s="149">
        <f t="shared" si="81"/>
        <v>0.99123551984206171</v>
      </c>
      <c r="I308" s="3">
        <f t="shared" si="76"/>
        <v>80.252706127209095</v>
      </c>
      <c r="J308" s="18">
        <f t="shared" si="77"/>
        <v>111.21022525665767</v>
      </c>
      <c r="K308" s="166">
        <f t="shared" si="78"/>
        <v>1.0816653826391966</v>
      </c>
    </row>
    <row r="309" spans="1:12" x14ac:dyDescent="0.25">
      <c r="A309" s="247">
        <v>0.7</v>
      </c>
      <c r="B309" s="3">
        <f t="shared" si="72"/>
        <v>0.94499999999999984</v>
      </c>
      <c r="C309" s="3">
        <f t="shared" si="73"/>
        <v>2.8238858928247921</v>
      </c>
      <c r="D309" s="3">
        <f t="shared" si="82"/>
        <v>0.3346452497960874</v>
      </c>
      <c r="E309" s="3">
        <f t="shared" si="74"/>
        <v>26.038390295896917</v>
      </c>
      <c r="F309" s="147">
        <f t="shared" si="75"/>
        <v>2.5204929119910537</v>
      </c>
      <c r="G309" s="241">
        <f t="shared" si="83"/>
        <v>2.3818658018315455</v>
      </c>
      <c r="H309" s="149">
        <f t="shared" si="81"/>
        <v>1.0176456926367929</v>
      </c>
      <c r="I309" s="3">
        <f t="shared" si="76"/>
        <v>91.882876946012118</v>
      </c>
      <c r="J309" s="18">
        <f t="shared" si="77"/>
        <v>128.61544690038312</v>
      </c>
      <c r="K309" s="166">
        <f t="shared" si="78"/>
        <v>1.2619429464123961</v>
      </c>
    </row>
    <row r="310" spans="1:12" ht="15.75" thickBot="1" x14ac:dyDescent="0.3">
      <c r="A310" s="250">
        <v>0.8</v>
      </c>
      <c r="B310" s="7">
        <f t="shared" si="72"/>
        <v>1.2000000000000002</v>
      </c>
      <c r="C310" s="7">
        <f t="shared" si="73"/>
        <v>3.1844410203711915</v>
      </c>
      <c r="D310" s="7">
        <f t="shared" si="82"/>
        <v>0.37683222654257958</v>
      </c>
      <c r="E310" s="7">
        <f t="shared" si="74"/>
        <v>26.558774268461622</v>
      </c>
      <c r="F310" s="148">
        <f t="shared" si="75"/>
        <v>2.7281048748419656</v>
      </c>
      <c r="G310" s="242">
        <f t="shared" si="83"/>
        <v>3.2737258498103592</v>
      </c>
      <c r="H310" s="150">
        <f t="shared" si="81"/>
        <v>1.0431717417112827</v>
      </c>
      <c r="I310" s="7">
        <f t="shared" si="76"/>
        <v>103.46607077734299</v>
      </c>
      <c r="J310" s="19">
        <f t="shared" si="77"/>
        <v>145.97218679456304</v>
      </c>
      <c r="K310" s="167">
        <f t="shared" si="78"/>
        <v>1.4422205101855958</v>
      </c>
    </row>
    <row r="327" spans="1:1" x14ac:dyDescent="0.25">
      <c r="A327" s="182" t="s">
        <v>134</v>
      </c>
    </row>
    <row r="328" spans="1:1" ht="18" x14ac:dyDescent="0.35">
      <c r="A328" t="s">
        <v>141</v>
      </c>
    </row>
    <row r="341" spans="1:14" ht="15.75" x14ac:dyDescent="0.25">
      <c r="A341" s="155" t="s">
        <v>142</v>
      </c>
    </row>
    <row r="342" spans="1:14" ht="15.75" thickBot="1" x14ac:dyDescent="0.3"/>
    <row r="343" spans="1:14" x14ac:dyDescent="0.25">
      <c r="A343" s="14" t="s">
        <v>20</v>
      </c>
      <c r="B343" s="4">
        <v>2</v>
      </c>
      <c r="C343" s="4">
        <v>10</v>
      </c>
      <c r="D343" s="4">
        <v>20</v>
      </c>
      <c r="E343" s="4">
        <v>50</v>
      </c>
      <c r="F343" s="15">
        <v>100</v>
      </c>
    </row>
    <row r="344" spans="1:14" ht="19.5" thickBot="1" x14ac:dyDescent="0.4">
      <c r="A344" s="10" t="s">
        <v>21</v>
      </c>
      <c r="B344" s="80">
        <v>0.03</v>
      </c>
      <c r="C344" s="80">
        <v>0.21</v>
      </c>
      <c r="D344" s="80">
        <v>0.31</v>
      </c>
      <c r="E344" s="80">
        <v>0.44</v>
      </c>
      <c r="F344" s="81">
        <v>0.55000000000000004</v>
      </c>
    </row>
    <row r="347" spans="1:14" x14ac:dyDescent="0.25">
      <c r="A347" s="22" t="s">
        <v>139</v>
      </c>
      <c r="B347" s="85"/>
      <c r="C347" s="85"/>
      <c r="D347" s="86"/>
      <c r="H347" s="160"/>
    </row>
    <row r="348" spans="1:14" x14ac:dyDescent="0.25">
      <c r="A348" s="82" t="s">
        <v>68</v>
      </c>
      <c r="B348" s="24"/>
      <c r="C348" s="238"/>
      <c r="D348" s="238"/>
      <c r="H348" s="160"/>
    </row>
    <row r="349" spans="1:14" ht="18" x14ac:dyDescent="0.35">
      <c r="A349" s="27" t="s">
        <v>25</v>
      </c>
      <c r="B349" s="183"/>
      <c r="C349" s="262"/>
      <c r="D349" s="75" t="s">
        <v>26</v>
      </c>
      <c r="E349" s="26" t="s">
        <v>27</v>
      </c>
      <c r="F349" s="26" t="s">
        <v>143</v>
      </c>
      <c r="G349" s="266" t="s">
        <v>145</v>
      </c>
      <c r="H349" s="91" t="s">
        <v>144</v>
      </c>
      <c r="J349"/>
      <c r="K349" s="160"/>
      <c r="L349" s="160"/>
      <c r="M349" s="87" t="s">
        <v>69</v>
      </c>
      <c r="N349" s="88" t="s">
        <v>70</v>
      </c>
    </row>
    <row r="350" spans="1:14" x14ac:dyDescent="0.25">
      <c r="A350" s="64" t="s">
        <v>28</v>
      </c>
      <c r="B350" s="40"/>
      <c r="C350" s="261"/>
      <c r="D350" s="251" t="s">
        <v>29</v>
      </c>
      <c r="E350" s="31" t="s">
        <v>30</v>
      </c>
      <c r="F350" s="267">
        <v>0.31</v>
      </c>
      <c r="G350" s="268">
        <v>0.44</v>
      </c>
      <c r="H350" s="269">
        <v>0.55000000000000004</v>
      </c>
      <c r="J350"/>
      <c r="K350" s="160"/>
      <c r="L350" s="160"/>
      <c r="M350" s="90" t="s">
        <v>71</v>
      </c>
      <c r="N350" s="91">
        <v>1</v>
      </c>
    </row>
    <row r="351" spans="1:14" x14ac:dyDescent="0.25">
      <c r="A351" s="32" t="s">
        <v>31</v>
      </c>
      <c r="B351" s="82"/>
      <c r="C351" s="255"/>
      <c r="D351" s="252" t="s">
        <v>32</v>
      </c>
      <c r="E351" s="33" t="s">
        <v>2</v>
      </c>
      <c r="F351" s="270">
        <v>0.6</v>
      </c>
      <c r="G351" s="270">
        <v>0.6</v>
      </c>
      <c r="H351" s="270">
        <v>0.6</v>
      </c>
      <c r="J351"/>
      <c r="K351" s="160"/>
      <c r="L351" s="160"/>
      <c r="M351" s="93" t="s">
        <v>96</v>
      </c>
      <c r="N351" s="94" t="s">
        <v>97</v>
      </c>
    </row>
    <row r="352" spans="1:14" x14ac:dyDescent="0.25">
      <c r="A352" s="32" t="s">
        <v>33</v>
      </c>
      <c r="B352" s="82"/>
      <c r="C352" s="255"/>
      <c r="D352" s="252" t="s">
        <v>34</v>
      </c>
      <c r="E352" s="33"/>
      <c r="F352" s="271">
        <v>1.2999999999999999E-2</v>
      </c>
      <c r="G352" s="271">
        <v>1.2999999999999999E-2</v>
      </c>
      <c r="H352" s="271">
        <v>1.2999999999999999E-2</v>
      </c>
      <c r="J352"/>
      <c r="K352" s="160"/>
      <c r="L352" s="160"/>
      <c r="M352" s="95">
        <v>0.38200000000000001</v>
      </c>
      <c r="N352" s="96">
        <v>0.8</v>
      </c>
    </row>
    <row r="353" spans="1:14" x14ac:dyDescent="0.25">
      <c r="A353" s="42" t="s">
        <v>72</v>
      </c>
      <c r="B353" s="23"/>
      <c r="C353" s="100"/>
      <c r="D353" s="253" t="s">
        <v>23</v>
      </c>
      <c r="E353" s="35"/>
      <c r="F353" s="272">
        <v>1.2999999999999999E-2</v>
      </c>
      <c r="G353" s="272">
        <v>1.2999999999999999E-2</v>
      </c>
      <c r="H353" s="272">
        <v>1.2999999999999999E-2</v>
      </c>
      <c r="J353"/>
      <c r="K353" s="160"/>
      <c r="L353" s="160"/>
      <c r="M353" s="95">
        <v>0.5</v>
      </c>
      <c r="N353" s="96">
        <v>0.85</v>
      </c>
    </row>
    <row r="354" spans="1:14" x14ac:dyDescent="0.25">
      <c r="A354" s="32" t="s">
        <v>35</v>
      </c>
      <c r="B354" s="82"/>
      <c r="C354" s="82"/>
      <c r="D354" s="36" t="s">
        <v>62</v>
      </c>
      <c r="E354" s="36" t="s">
        <v>2</v>
      </c>
      <c r="F354" s="271">
        <v>0.3</v>
      </c>
      <c r="G354" s="271">
        <v>0.3</v>
      </c>
      <c r="H354" s="271">
        <v>0.3</v>
      </c>
      <c r="J354"/>
      <c r="K354" s="160"/>
      <c r="L354" s="160"/>
      <c r="M354" s="98">
        <v>0.436</v>
      </c>
      <c r="N354" s="99">
        <f>N352+((M354-M352)*(N353-N352)/(M353-M352))</f>
        <v>0.82288135593220335</v>
      </c>
    </row>
    <row r="355" spans="1:14" x14ac:dyDescent="0.25">
      <c r="A355" s="42" t="s">
        <v>36</v>
      </c>
      <c r="B355" s="23"/>
      <c r="C355" s="23"/>
      <c r="D355" s="35" t="s">
        <v>63</v>
      </c>
      <c r="E355" s="37"/>
      <c r="F355" s="272">
        <v>1.5</v>
      </c>
      <c r="G355" s="272">
        <v>1.5</v>
      </c>
      <c r="H355" s="272">
        <v>1.5</v>
      </c>
      <c r="J355"/>
      <c r="K355" s="160"/>
      <c r="L355" s="160"/>
      <c r="M355" s="95">
        <v>1E-3</v>
      </c>
      <c r="N355" s="96">
        <v>0.2</v>
      </c>
    </row>
    <row r="356" spans="1:14" x14ac:dyDescent="0.25">
      <c r="A356" s="32" t="s">
        <v>37</v>
      </c>
      <c r="B356" s="82"/>
      <c r="C356" s="82"/>
      <c r="D356" s="33" t="s">
        <v>3</v>
      </c>
      <c r="E356" s="38" t="s">
        <v>38</v>
      </c>
      <c r="F356" s="273">
        <f>3.1416*F351^2/4</f>
        <v>0.282744</v>
      </c>
      <c r="G356" s="273">
        <f t="shared" ref="G356:H356" si="84">3.1416*G351^2/4</f>
        <v>0.282744</v>
      </c>
      <c r="H356" s="274">
        <f t="shared" si="84"/>
        <v>0.282744</v>
      </c>
      <c r="J356"/>
      <c r="K356" s="160"/>
      <c r="L356" s="160"/>
      <c r="M356" s="95">
        <v>5.0000000000000001E-3</v>
      </c>
      <c r="N356" s="96">
        <v>0.25</v>
      </c>
    </row>
    <row r="357" spans="1:14" x14ac:dyDescent="0.25">
      <c r="A357" s="64" t="s">
        <v>25</v>
      </c>
      <c r="B357" s="40"/>
      <c r="C357" s="40"/>
      <c r="D357" s="33" t="s">
        <v>39</v>
      </c>
      <c r="E357" s="32"/>
      <c r="F357" s="275">
        <f>(10.294*F352^2)/F351^5.33</f>
        <v>2.6480409934106219E-2</v>
      </c>
      <c r="G357" s="275">
        <f t="shared" ref="G357:H357" si="85">(10.294*G352^2)/G351^5.33</f>
        <v>2.6480409934106219E-2</v>
      </c>
      <c r="H357" s="276">
        <f t="shared" si="85"/>
        <v>2.6480409934106219E-2</v>
      </c>
      <c r="J357"/>
      <c r="K357" s="160"/>
      <c r="L357" s="160"/>
      <c r="M357" s="95">
        <v>8.9999999999999993E-3</v>
      </c>
      <c r="N357" s="96">
        <v>0.3</v>
      </c>
    </row>
    <row r="358" spans="1:14" x14ac:dyDescent="0.25">
      <c r="A358" s="64" t="s">
        <v>40</v>
      </c>
      <c r="B358" s="40"/>
      <c r="C358" s="40"/>
      <c r="D358" s="33" t="s">
        <v>65</v>
      </c>
      <c r="E358" s="38" t="s">
        <v>30</v>
      </c>
      <c r="F358" s="273">
        <f>(F353/F357)^0.5</f>
        <v>0.70066322571653328</v>
      </c>
      <c r="G358" s="273">
        <f t="shared" ref="G358:H358" si="86">(G353/G357)^0.5</f>
        <v>0.70066322571653328</v>
      </c>
      <c r="H358" s="274">
        <f t="shared" si="86"/>
        <v>0.70066322571653328</v>
      </c>
      <c r="J358"/>
      <c r="K358" s="160"/>
      <c r="L358" s="160"/>
      <c r="M358" s="95">
        <v>1.6E-2</v>
      </c>
      <c r="N358" s="96">
        <v>0.35</v>
      </c>
    </row>
    <row r="359" spans="1:14" x14ac:dyDescent="0.25">
      <c r="A359" s="65" t="s">
        <v>41</v>
      </c>
      <c r="B359" s="23"/>
      <c r="C359" s="23"/>
      <c r="D359" s="35" t="s">
        <v>42</v>
      </c>
      <c r="E359" s="42"/>
      <c r="F359" s="277">
        <f>F350^2*F357</f>
        <v>2.5447673946676079E-3</v>
      </c>
      <c r="G359" s="277">
        <f t="shared" ref="G359:H359" si="87">G350^2*G357</f>
        <v>5.1266073632429635E-3</v>
      </c>
      <c r="H359" s="277">
        <f t="shared" si="87"/>
        <v>8.0103240050671334E-3</v>
      </c>
      <c r="J359"/>
      <c r="K359" s="160"/>
      <c r="L359" s="160"/>
      <c r="M359" s="95">
        <v>2.5000000000000001E-2</v>
      </c>
      <c r="N359" s="96">
        <v>0.4</v>
      </c>
    </row>
    <row r="360" spans="1:14" x14ac:dyDescent="0.25">
      <c r="A360" s="66" t="s">
        <v>68</v>
      </c>
      <c r="B360" s="101"/>
      <c r="C360" s="101"/>
      <c r="D360" s="44" t="s">
        <v>98</v>
      </c>
      <c r="E360" s="45" t="s">
        <v>43</v>
      </c>
      <c r="F360" s="278">
        <f>F353/F359</f>
        <v>5.1085219133350428</v>
      </c>
      <c r="G360" s="278">
        <f t="shared" ref="G360:H360" si="88">G353/G359</f>
        <v>2.5357900613197195</v>
      </c>
      <c r="H360" s="279">
        <f t="shared" si="88"/>
        <v>1.6229056392446197</v>
      </c>
      <c r="J360"/>
      <c r="K360" s="160"/>
      <c r="L360" s="160"/>
      <c r="M360" s="95">
        <v>0.04</v>
      </c>
      <c r="N360" s="96">
        <v>0.45</v>
      </c>
    </row>
    <row r="361" spans="1:14" x14ac:dyDescent="0.25">
      <c r="A361" s="190" t="s">
        <v>73</v>
      </c>
      <c r="B361" s="102"/>
      <c r="C361" s="102"/>
      <c r="D361" s="103" t="s">
        <v>74</v>
      </c>
      <c r="E361" s="104" t="s">
        <v>2</v>
      </c>
      <c r="F361" s="280">
        <v>0.28000000000000003</v>
      </c>
      <c r="G361" s="280">
        <v>0.34499999999999997</v>
      </c>
      <c r="H361" s="281">
        <v>0.4</v>
      </c>
      <c r="J361"/>
      <c r="K361" s="160"/>
      <c r="L361" s="160"/>
      <c r="M361" s="95">
        <v>0.06</v>
      </c>
      <c r="N361" s="96">
        <v>0.5</v>
      </c>
    </row>
    <row r="362" spans="1:14" x14ac:dyDescent="0.25">
      <c r="A362" s="184" t="s">
        <v>75</v>
      </c>
      <c r="B362" s="106"/>
      <c r="C362" s="106"/>
      <c r="D362" s="107" t="s">
        <v>76</v>
      </c>
      <c r="E362" s="108"/>
      <c r="F362" s="276">
        <f>((F351/2)-F361)/(F351/2)</f>
        <v>6.6666666666666541E-2</v>
      </c>
      <c r="G362" s="276">
        <f t="shared" ref="G362:H362" si="89">((G351/2)-G361)/(G351/2)</f>
        <v>-0.14999999999999997</v>
      </c>
      <c r="H362" s="276">
        <f t="shared" si="89"/>
        <v>-0.33333333333333348</v>
      </c>
      <c r="J362"/>
      <c r="K362" s="160"/>
      <c r="L362" s="160"/>
      <c r="M362" s="95">
        <v>8.7999999999999995E-2</v>
      </c>
      <c r="N362" s="96">
        <v>0.55000000000000004</v>
      </c>
    </row>
    <row r="363" spans="1:14" x14ac:dyDescent="0.25">
      <c r="A363" s="32" t="s">
        <v>77</v>
      </c>
      <c r="B363" s="82"/>
      <c r="C363" s="82"/>
      <c r="D363" s="109" t="s">
        <v>78</v>
      </c>
      <c r="E363" s="108" t="s">
        <v>4</v>
      </c>
      <c r="F363" s="282">
        <f>ASIN(F362)*57.296</f>
        <v>3.8225684393122594</v>
      </c>
      <c r="G363" s="282">
        <f t="shared" ref="G363:H363" si="90">ASIN(G362)*57.296</f>
        <v>-8.626959757013001</v>
      </c>
      <c r="H363" s="282">
        <f t="shared" si="90"/>
        <v>-19.471295564083377</v>
      </c>
      <c r="J363"/>
      <c r="K363" s="160"/>
      <c r="L363" s="160"/>
      <c r="M363" s="95">
        <v>0.121</v>
      </c>
      <c r="N363" s="96">
        <v>0.6</v>
      </c>
    </row>
    <row r="364" spans="1:14" x14ac:dyDescent="0.25">
      <c r="A364" s="184" t="s">
        <v>75</v>
      </c>
      <c r="B364" s="106"/>
      <c r="C364" s="106"/>
      <c r="D364" s="107" t="s">
        <v>79</v>
      </c>
      <c r="E364" s="110"/>
      <c r="F364" s="276">
        <f>COS(F363*3.1416/180)</f>
        <v>0.997775275622928</v>
      </c>
      <c r="G364" s="276">
        <f t="shared" ref="G364:H364" si="91">COS(G363*3.1416/180)</f>
        <v>0.98868585693647337</v>
      </c>
      <c r="H364" s="276">
        <f t="shared" si="91"/>
        <v>0.94280834076075293</v>
      </c>
      <c r="J364"/>
      <c r="K364" s="160"/>
      <c r="L364" s="160"/>
      <c r="M364" s="95">
        <v>0.16600000000000001</v>
      </c>
      <c r="N364" s="96">
        <v>0.65</v>
      </c>
    </row>
    <row r="365" spans="1:14" x14ac:dyDescent="0.25">
      <c r="A365" s="184" t="s">
        <v>80</v>
      </c>
      <c r="B365" s="106"/>
      <c r="C365" s="106"/>
      <c r="D365" s="107" t="s">
        <v>81</v>
      </c>
      <c r="E365" s="33" t="s">
        <v>2</v>
      </c>
      <c r="F365" s="274">
        <f>F351*F364</f>
        <v>0.5986651653737568</v>
      </c>
      <c r="G365" s="274">
        <f t="shared" ref="G365:H365" si="92">G351*G364</f>
        <v>0.593211514161884</v>
      </c>
      <c r="H365" s="274">
        <f t="shared" si="92"/>
        <v>0.56568500445645176</v>
      </c>
      <c r="J365"/>
      <c r="K365" s="160"/>
      <c r="L365" s="160"/>
      <c r="M365" s="95">
        <v>0.22</v>
      </c>
      <c r="N365" s="96">
        <v>0.7</v>
      </c>
    </row>
    <row r="366" spans="1:14" x14ac:dyDescent="0.25">
      <c r="A366" s="64" t="s">
        <v>37</v>
      </c>
      <c r="B366" s="40"/>
      <c r="C366" s="40"/>
      <c r="D366" s="107" t="s">
        <v>99</v>
      </c>
      <c r="E366" s="107" t="s">
        <v>38</v>
      </c>
      <c r="F366" s="273">
        <f>F356/360*(180-2*F363)+(F361-(F351/2))*F365/2</f>
        <v>0.12938085784179076</v>
      </c>
      <c r="G366" s="273">
        <f t="shared" ref="G366:H366" si="93">G356/360*(180-2*G363)+(G361-(G351/2))*G365/2</f>
        <v>0.16827048745495843</v>
      </c>
      <c r="H366" s="274">
        <f t="shared" si="93"/>
        <v>0.20024176129488477</v>
      </c>
      <c r="J366"/>
      <c r="K366" s="160"/>
      <c r="L366" s="160"/>
      <c r="M366" s="95">
        <v>0.29399999999999998</v>
      </c>
      <c r="N366" s="96">
        <v>0.75</v>
      </c>
    </row>
    <row r="367" spans="1:14" x14ac:dyDescent="0.25">
      <c r="A367" s="32" t="s">
        <v>82</v>
      </c>
      <c r="B367" s="82"/>
      <c r="C367" s="82"/>
      <c r="D367" s="33" t="s">
        <v>4</v>
      </c>
      <c r="E367" s="33" t="s">
        <v>2</v>
      </c>
      <c r="F367" s="273">
        <f>(3.1416*(F351/2)/180)*(180-2*F363)</f>
        <v>0.90245006330352207</v>
      </c>
      <c r="G367" s="273">
        <f t="shared" ref="G367:H367" si="94">(3.1416*(G351/2)/180)*(180-2*G363)</f>
        <v>1.0328215225754402</v>
      </c>
      <c r="H367" s="274">
        <f t="shared" si="94"/>
        <v>1.1463834071470811</v>
      </c>
      <c r="J367"/>
      <c r="K367" s="160"/>
      <c r="L367" s="160"/>
      <c r="M367" s="95">
        <v>0.38200000000000001</v>
      </c>
      <c r="N367" s="96">
        <v>0.8</v>
      </c>
    </row>
    <row r="368" spans="1:14" x14ac:dyDescent="0.25">
      <c r="A368" s="32" t="s">
        <v>83</v>
      </c>
      <c r="B368" s="82"/>
      <c r="C368" s="82"/>
      <c r="D368" s="33" t="s">
        <v>5</v>
      </c>
      <c r="E368" s="33" t="s">
        <v>2</v>
      </c>
      <c r="F368" s="274">
        <f>F366/F367</f>
        <v>0.14336622390847564</v>
      </c>
      <c r="G368" s="274">
        <f t="shared" ref="G368:H368" si="95">G366/G367</f>
        <v>0.16292310314695971</v>
      </c>
      <c r="H368" s="274">
        <f t="shared" si="95"/>
        <v>0.17467259212448957</v>
      </c>
      <c r="J368"/>
      <c r="K368" s="160"/>
      <c r="L368" s="160"/>
      <c r="M368" s="95">
        <v>0.5</v>
      </c>
      <c r="N368" s="96">
        <v>0.85</v>
      </c>
    </row>
    <row r="369" spans="1:14" x14ac:dyDescent="0.25">
      <c r="A369" s="32" t="s">
        <v>84</v>
      </c>
      <c r="B369" s="82"/>
      <c r="C369" s="82"/>
      <c r="D369" s="33" t="s">
        <v>7</v>
      </c>
      <c r="E369" s="38" t="s">
        <v>44</v>
      </c>
      <c r="F369" s="283">
        <f>(F368^0.6667*F353^0.5)/F352</f>
        <v>2.4023232057989672</v>
      </c>
      <c r="G369" s="283">
        <f t="shared" ref="G369:H369" si="96">(G368^0.6667*G353^0.5)/G352</f>
        <v>2.6161170556729201</v>
      </c>
      <c r="H369" s="282">
        <f t="shared" si="96"/>
        <v>2.7404354368800798</v>
      </c>
      <c r="J369"/>
      <c r="K369" s="160"/>
      <c r="L369" s="160"/>
      <c r="M369" s="95">
        <v>0.68500000000000005</v>
      </c>
      <c r="N369" s="96">
        <v>0.9</v>
      </c>
    </row>
    <row r="370" spans="1:14" x14ac:dyDescent="0.25">
      <c r="A370" s="42" t="s">
        <v>64</v>
      </c>
      <c r="B370" s="23"/>
      <c r="C370" s="23"/>
      <c r="D370" s="35" t="s">
        <v>8</v>
      </c>
      <c r="E370" s="37" t="s">
        <v>30</v>
      </c>
      <c r="F370" s="284">
        <f>F369*F366</f>
        <v>0.31081463717951124</v>
      </c>
      <c r="G370" s="284">
        <f t="shared" ref="G370:H370" si="97">G369*G366</f>
        <v>0.44021529219731287</v>
      </c>
      <c r="H370" s="284">
        <f t="shared" si="97"/>
        <v>0.54874961859578419</v>
      </c>
      <c r="J370"/>
      <c r="K370" s="160"/>
      <c r="L370" s="160"/>
      <c r="M370" s="98">
        <v>1.0349999999999999</v>
      </c>
      <c r="N370" s="112">
        <v>0.95</v>
      </c>
    </row>
    <row r="371" spans="1:14" x14ac:dyDescent="0.25">
      <c r="A371" s="64" t="s">
        <v>85</v>
      </c>
      <c r="B371" s="40"/>
      <c r="C371" s="40"/>
      <c r="D371" s="113" t="s">
        <v>100</v>
      </c>
      <c r="E371" s="33"/>
      <c r="F371" s="274">
        <f>1.1*F350^2/(9.806*F351^5)</f>
        <v>0.1386334183572836</v>
      </c>
      <c r="G371" s="274">
        <f t="shared" ref="G371:H371" si="98">1.1*G350^2/(9.806*G351^5)</f>
        <v>0.27928647028064624</v>
      </c>
      <c r="H371" s="274">
        <f t="shared" si="98"/>
        <v>0.43638510981350986</v>
      </c>
      <c r="J371"/>
      <c r="K371" s="160"/>
      <c r="L371" s="160"/>
      <c r="M371" s="90" t="s">
        <v>71</v>
      </c>
      <c r="N371" s="91">
        <v>2</v>
      </c>
    </row>
    <row r="372" spans="1:14" x14ac:dyDescent="0.25">
      <c r="A372" s="32" t="s">
        <v>86</v>
      </c>
      <c r="B372" s="82"/>
      <c r="C372" s="82"/>
      <c r="D372" s="113" t="s">
        <v>101</v>
      </c>
      <c r="E372" s="33"/>
      <c r="F372" s="285">
        <v>0.62</v>
      </c>
      <c r="G372" s="285">
        <v>0.74</v>
      </c>
      <c r="H372" s="285">
        <v>0.82299999999999995</v>
      </c>
      <c r="J372"/>
      <c r="K372" s="160"/>
      <c r="L372" s="160"/>
      <c r="M372" s="115" t="s">
        <v>102</v>
      </c>
      <c r="N372" s="116" t="s">
        <v>103</v>
      </c>
    </row>
    <row r="373" spans="1:14" x14ac:dyDescent="0.25">
      <c r="A373" s="264" t="s">
        <v>87</v>
      </c>
      <c r="B373" s="51"/>
      <c r="C373" s="51"/>
      <c r="D373" s="117" t="s">
        <v>104</v>
      </c>
      <c r="E373" s="118"/>
      <c r="F373" s="274">
        <f>F372*F351</f>
        <v>0.372</v>
      </c>
      <c r="G373" s="274">
        <f t="shared" ref="G373:H373" si="99">G372*G351</f>
        <v>0.44400000000000001</v>
      </c>
      <c r="H373" s="274">
        <f t="shared" si="99"/>
        <v>0.49379999999999996</v>
      </c>
      <c r="J373"/>
      <c r="K373" s="160"/>
      <c r="L373" s="160"/>
      <c r="M373" s="119">
        <v>0.7</v>
      </c>
      <c r="N373" s="120">
        <v>0.747</v>
      </c>
    </row>
    <row r="374" spans="1:14" x14ac:dyDescent="0.25">
      <c r="A374" s="265" t="s">
        <v>88</v>
      </c>
      <c r="B374" s="121"/>
      <c r="C374" s="121"/>
      <c r="D374" s="44" t="s">
        <v>105</v>
      </c>
      <c r="E374" s="84" t="s">
        <v>66</v>
      </c>
      <c r="F374" s="279">
        <f>(1.1*F373)/F361</f>
        <v>1.4614285714285713</v>
      </c>
      <c r="G374" s="279">
        <f t="shared" ref="G374:H374" si="100">(1.1*G373)/G361</f>
        <v>1.4156521739130437</v>
      </c>
      <c r="H374" s="279">
        <f t="shared" si="100"/>
        <v>1.35795</v>
      </c>
      <c r="J374"/>
      <c r="K374" s="160"/>
      <c r="L374" s="160"/>
      <c r="M374" s="119">
        <v>0.75</v>
      </c>
      <c r="N374" s="120">
        <v>0.80500000000000005</v>
      </c>
    </row>
    <row r="375" spans="1:14" x14ac:dyDescent="0.25">
      <c r="A375" s="64" t="s">
        <v>89</v>
      </c>
      <c r="B375" s="40"/>
      <c r="C375" s="40"/>
      <c r="D375" s="113" t="s">
        <v>106</v>
      </c>
      <c r="E375" s="33" t="s">
        <v>2</v>
      </c>
      <c r="F375" s="286">
        <f>0.9*F373</f>
        <v>0.33479999999999999</v>
      </c>
      <c r="G375" s="286">
        <f t="shared" ref="G375:H375" si="101">0.9*G373</f>
        <v>0.39960000000000001</v>
      </c>
      <c r="H375" s="286">
        <f t="shared" si="101"/>
        <v>0.44441999999999998</v>
      </c>
      <c r="J375"/>
      <c r="K375" s="160"/>
      <c r="L375" s="160"/>
      <c r="M375" s="123">
        <v>0.74099999999999999</v>
      </c>
      <c r="N375" s="124">
        <f>N373+((M375-M373)*(N374-N373)/(M374-M373))</f>
        <v>0.79456000000000004</v>
      </c>
    </row>
    <row r="376" spans="1:14" x14ac:dyDescent="0.25">
      <c r="A376" s="64" t="s">
        <v>90</v>
      </c>
      <c r="B376" s="40"/>
      <c r="C376" s="40"/>
      <c r="D376" s="113" t="s">
        <v>107</v>
      </c>
      <c r="E376" s="33"/>
      <c r="F376" s="274">
        <f>F375/F351</f>
        <v>0.55800000000000005</v>
      </c>
      <c r="G376" s="274">
        <f t="shared" ref="G376:H376" si="102">G375/G351</f>
        <v>0.66600000000000004</v>
      </c>
      <c r="H376" s="274">
        <f t="shared" si="102"/>
        <v>0.74070000000000003</v>
      </c>
      <c r="J376"/>
      <c r="K376" s="160"/>
      <c r="L376" s="160"/>
      <c r="M376" s="119">
        <v>0.1</v>
      </c>
      <c r="N376" s="120">
        <v>5.2499999999999998E-2</v>
      </c>
    </row>
    <row r="377" spans="1:14" x14ac:dyDescent="0.25">
      <c r="A377" s="32" t="s">
        <v>91</v>
      </c>
      <c r="B377" s="82"/>
      <c r="C377" s="82"/>
      <c r="D377" s="33" t="s">
        <v>108</v>
      </c>
      <c r="E377" s="125"/>
      <c r="F377" s="285">
        <v>0.57399999999999995</v>
      </c>
      <c r="G377" s="285">
        <v>0.70799999999999996</v>
      </c>
      <c r="H377" s="285">
        <v>0.79500000000000004</v>
      </c>
      <c r="J377"/>
      <c r="K377" s="160"/>
      <c r="L377" s="160"/>
      <c r="M377" s="119">
        <v>0.2</v>
      </c>
      <c r="N377" s="120">
        <v>0.14269999999999999</v>
      </c>
    </row>
    <row r="378" spans="1:14" x14ac:dyDescent="0.25">
      <c r="A378" s="32" t="s">
        <v>109</v>
      </c>
      <c r="B378" s="82"/>
      <c r="C378" s="82"/>
      <c r="D378" s="33" t="s">
        <v>110</v>
      </c>
      <c r="E378" s="125" t="s">
        <v>38</v>
      </c>
      <c r="F378" s="274">
        <f>F356*F377</f>
        <v>0.16229505599999999</v>
      </c>
      <c r="G378" s="274">
        <f t="shared" ref="G378:H378" si="103">G356*G377</f>
        <v>0.20018275199999999</v>
      </c>
      <c r="H378" s="274">
        <f t="shared" si="103"/>
        <v>0.22478148000000001</v>
      </c>
      <c r="J378"/>
      <c r="K378" s="160"/>
      <c r="L378" s="160"/>
      <c r="M378" s="119">
        <v>0.25</v>
      </c>
      <c r="N378" s="120">
        <v>0.19539999999999999</v>
      </c>
    </row>
    <row r="379" spans="1:14" ht="15.75" thickBot="1" x14ac:dyDescent="0.3">
      <c r="A379" s="264" t="s">
        <v>92</v>
      </c>
      <c r="B379" s="51"/>
      <c r="C379" s="51"/>
      <c r="D379" s="117" t="s">
        <v>67</v>
      </c>
      <c r="E379" s="38" t="s">
        <v>2</v>
      </c>
      <c r="F379" s="282">
        <f>0.07057*(F350/F378)^2+F375</f>
        <v>0.59227373015201956</v>
      </c>
      <c r="G379" s="282">
        <f t="shared" ref="G379:H379" si="104">0.07057*(G350/G378)^2+G375</f>
        <v>0.74053544898172219</v>
      </c>
      <c r="H379" s="282">
        <f t="shared" si="104"/>
        <v>0.86691779206314523</v>
      </c>
      <c r="J379"/>
      <c r="K379" s="160"/>
      <c r="L379" s="160"/>
      <c r="M379" s="119">
        <v>0.3</v>
      </c>
      <c r="N379" s="120">
        <v>0.253</v>
      </c>
    </row>
    <row r="380" spans="1:14" ht="15.75" thickBot="1" x14ac:dyDescent="0.3">
      <c r="A380" s="130" t="s">
        <v>93</v>
      </c>
      <c r="B380" s="185"/>
      <c r="C380" s="185"/>
      <c r="D380" s="126" t="s">
        <v>45</v>
      </c>
      <c r="E380" s="126" t="s">
        <v>2</v>
      </c>
      <c r="F380" s="287">
        <f>F379-(0.057*F393^2)</f>
        <v>0.58037856345030392</v>
      </c>
      <c r="G380" s="288">
        <f t="shared" ref="G380:H380" si="105">G379-(0.057*G393^2)</f>
        <v>0.7225980112330832</v>
      </c>
      <c r="H380" s="284">
        <f t="shared" si="105"/>
        <v>0.85997882329960285</v>
      </c>
      <c r="J380"/>
      <c r="K380" s="160"/>
      <c r="L380" s="160"/>
      <c r="M380" s="119">
        <v>0.35</v>
      </c>
      <c r="N380" s="120">
        <v>0.3115</v>
      </c>
    </row>
    <row r="381" spans="1:14" x14ac:dyDescent="0.25">
      <c r="A381" s="265" t="s">
        <v>94</v>
      </c>
      <c r="B381" s="121"/>
      <c r="C381" s="121"/>
      <c r="D381" s="44" t="s">
        <v>111</v>
      </c>
      <c r="E381" s="84" t="s">
        <v>66</v>
      </c>
      <c r="F381" s="289">
        <f>F380/(1.2*F351)</f>
        <v>0.80608133812542215</v>
      </c>
      <c r="G381" s="290">
        <f t="shared" ref="G381:H381" si="106">G380/(1.2*G351)</f>
        <v>1.0036083489348377</v>
      </c>
      <c r="H381" s="290">
        <f t="shared" si="106"/>
        <v>1.1944150323605596</v>
      </c>
      <c r="J381"/>
      <c r="K381" s="160"/>
      <c r="L381" s="160"/>
      <c r="M381" s="119">
        <v>0.4</v>
      </c>
      <c r="N381" s="120">
        <v>0.374</v>
      </c>
    </row>
    <row r="382" spans="1:14" x14ac:dyDescent="0.25">
      <c r="A382" s="264" t="s">
        <v>92</v>
      </c>
      <c r="B382" s="51"/>
      <c r="C382" s="51"/>
      <c r="D382" s="117" t="s">
        <v>67</v>
      </c>
      <c r="E382" s="128" t="s">
        <v>2</v>
      </c>
      <c r="F382" s="282">
        <f>(0.1834*(F350^2/F356^2))+0.6*F351</f>
        <v>0.58046310696946235</v>
      </c>
      <c r="G382" s="282">
        <f t="shared" ref="G382:H382" si="107">(0.1834*(G350^2/G356^2))+0.6*G351</f>
        <v>0.80413795535159105</v>
      </c>
      <c r="H382" s="282">
        <f t="shared" si="107"/>
        <v>1.0539655552368612</v>
      </c>
      <c r="J382"/>
      <c r="K382" s="160"/>
      <c r="L382" s="160"/>
      <c r="M382" s="119">
        <v>0.45</v>
      </c>
      <c r="N382" s="120">
        <v>0.436</v>
      </c>
    </row>
    <row r="383" spans="1:14" x14ac:dyDescent="0.25">
      <c r="A383" s="130" t="s">
        <v>93</v>
      </c>
      <c r="B383" s="185"/>
      <c r="C383" s="185"/>
      <c r="D383" s="126" t="s">
        <v>45</v>
      </c>
      <c r="E383" s="127" t="s">
        <v>2</v>
      </c>
      <c r="F383" s="291">
        <f>F382-(0.057*F393^2)</f>
        <v>0.56856794026774671</v>
      </c>
      <c r="G383" s="291">
        <f t="shared" ref="G383:H383" si="108">G382-(0.057*G393^2)</f>
        <v>0.78620051760295206</v>
      </c>
      <c r="H383" s="291">
        <f t="shared" si="108"/>
        <v>1.0470265864733188</v>
      </c>
      <c r="J383"/>
      <c r="K383" s="160"/>
      <c r="L383" s="160"/>
      <c r="M383" s="119">
        <v>0.5</v>
      </c>
      <c r="N383" s="120">
        <v>0.5</v>
      </c>
    </row>
    <row r="384" spans="1:14" x14ac:dyDescent="0.25">
      <c r="A384" s="265" t="s">
        <v>95</v>
      </c>
      <c r="B384" s="121"/>
      <c r="C384" s="121"/>
      <c r="D384" s="44" t="s">
        <v>112</v>
      </c>
      <c r="E384" s="84" t="s">
        <v>66</v>
      </c>
      <c r="F384" s="290">
        <f>F361/(1.1*F373)</f>
        <v>0.68426197458455529</v>
      </c>
      <c r="G384" s="290">
        <f t="shared" ref="G384:H384" si="109">G361/(1.1*G373)</f>
        <v>0.70638820638820621</v>
      </c>
      <c r="H384" s="290">
        <f t="shared" si="109"/>
        <v>0.73640413859125897</v>
      </c>
      <c r="J384"/>
      <c r="K384" s="160"/>
      <c r="L384" s="160"/>
      <c r="M384" s="119">
        <v>0.55000000000000004</v>
      </c>
      <c r="N384" s="120">
        <v>0.56399999999999995</v>
      </c>
    </row>
    <row r="385" spans="1:14" x14ac:dyDescent="0.25">
      <c r="A385" s="264" t="s">
        <v>92</v>
      </c>
      <c r="B385" s="51"/>
      <c r="C385" s="51"/>
      <c r="D385" s="117" t="s">
        <v>67</v>
      </c>
      <c r="E385" s="38" t="s">
        <v>2</v>
      </c>
      <c r="F385" s="292">
        <f>0.07057*(F350/F366)^2+F361</f>
        <v>0.68513844085731035</v>
      </c>
      <c r="G385" s="292">
        <f t="shared" ref="G385:H385" si="110">0.07057*(G350/G366)^2+G361</f>
        <v>0.82751360667550378</v>
      </c>
      <c r="H385" s="292">
        <f t="shared" si="110"/>
        <v>0.93239771544269645</v>
      </c>
      <c r="J385"/>
      <c r="K385" s="160"/>
      <c r="L385" s="160"/>
      <c r="M385" s="119">
        <v>0.6</v>
      </c>
      <c r="N385" s="120">
        <v>0.625</v>
      </c>
    </row>
    <row r="386" spans="1:14" x14ac:dyDescent="0.25">
      <c r="A386" s="130" t="s">
        <v>93</v>
      </c>
      <c r="B386" s="185"/>
      <c r="C386" s="185"/>
      <c r="D386" s="126" t="s">
        <v>45</v>
      </c>
      <c r="E386" s="126" t="s">
        <v>2</v>
      </c>
      <c r="F386" s="284">
        <f>F385-(0.057*F393^2)</f>
        <v>0.67324327415559471</v>
      </c>
      <c r="G386" s="284">
        <f t="shared" ref="G386:H386" si="111">G385-(0.057*G393^2)</f>
        <v>0.80957616892686479</v>
      </c>
      <c r="H386" s="284">
        <f t="shared" si="111"/>
        <v>0.92545874667915407</v>
      </c>
      <c r="J386"/>
      <c r="K386" s="160"/>
      <c r="L386" s="160"/>
      <c r="M386" s="119">
        <v>0.65</v>
      </c>
      <c r="N386" s="120">
        <v>0.68899999999999995</v>
      </c>
    </row>
    <row r="387" spans="1:14" x14ac:dyDescent="0.25">
      <c r="A387" s="265" t="s">
        <v>94</v>
      </c>
      <c r="B387" s="121"/>
      <c r="C387" s="121"/>
      <c r="D387" s="44" t="s">
        <v>113</v>
      </c>
      <c r="E387" s="84" t="s">
        <v>66</v>
      </c>
      <c r="F387" s="290">
        <f>F386/(1.2*F351)</f>
        <v>0.93506010299388154</v>
      </c>
      <c r="G387" s="293">
        <f t="shared" ref="G387:H387" si="112">G386/(1.2*G351)</f>
        <v>1.1244113457317566</v>
      </c>
      <c r="H387" s="293">
        <f t="shared" si="112"/>
        <v>1.285359370387714</v>
      </c>
      <c r="J387"/>
      <c r="K387" s="160"/>
      <c r="L387" s="160"/>
      <c r="M387" s="119">
        <v>0.7</v>
      </c>
      <c r="N387" s="120">
        <v>0.747</v>
      </c>
    </row>
    <row r="388" spans="1:14" ht="15.75" thickBot="1" x14ac:dyDescent="0.3">
      <c r="A388" s="264" t="s">
        <v>92</v>
      </c>
      <c r="B388" s="51"/>
      <c r="C388" s="51"/>
      <c r="D388" s="117" t="s">
        <v>67</v>
      </c>
      <c r="E388" s="128" t="s">
        <v>2</v>
      </c>
      <c r="F388" s="283">
        <f>(0.1834*(F350^2/F356^2))+0.6*F361</f>
        <v>0.38846310696946235</v>
      </c>
      <c r="G388" s="283">
        <f t="shared" ref="G388:H388" si="113">(0.1834*(G350^2/G356^2))+0.6*G361</f>
        <v>0.65113795535159114</v>
      </c>
      <c r="H388" s="282">
        <f t="shared" si="113"/>
        <v>0.9339655552368612</v>
      </c>
      <c r="J388"/>
      <c r="K388" s="160"/>
      <c r="L388" s="160"/>
      <c r="M388" s="119">
        <v>0.75</v>
      </c>
      <c r="N388" s="120">
        <v>0.80500000000000005</v>
      </c>
    </row>
    <row r="389" spans="1:14" ht="15.75" thickBot="1" x14ac:dyDescent="0.3">
      <c r="A389" s="130" t="s">
        <v>93</v>
      </c>
      <c r="B389" s="130"/>
      <c r="C389" s="130"/>
      <c r="D389" s="126" t="s">
        <v>45</v>
      </c>
      <c r="E389" s="127" t="s">
        <v>2</v>
      </c>
      <c r="F389" s="294">
        <f>F388-(0.057*F393^2)</f>
        <v>0.37656794026774665</v>
      </c>
      <c r="G389" s="287">
        <f t="shared" ref="G389:H389" si="114">G388-(0.057*G393^2)</f>
        <v>0.63320051760295215</v>
      </c>
      <c r="H389" s="321">
        <f t="shared" si="114"/>
        <v>0.92702658647331881</v>
      </c>
      <c r="J389"/>
      <c r="K389" s="160"/>
      <c r="L389" s="160"/>
      <c r="M389" s="119">
        <v>0.8</v>
      </c>
      <c r="N389" s="120">
        <v>0.85699999999999998</v>
      </c>
    </row>
    <row r="390" spans="1:14" x14ac:dyDescent="0.25">
      <c r="A390" s="135" t="s">
        <v>46</v>
      </c>
      <c r="B390" s="135"/>
      <c r="C390" s="135"/>
      <c r="D390" s="187" t="s">
        <v>29</v>
      </c>
      <c r="E390" s="188" t="s">
        <v>30</v>
      </c>
      <c r="F390" s="295"/>
      <c r="G390" s="297"/>
      <c r="H390" s="297"/>
      <c r="J390"/>
      <c r="K390" s="160"/>
      <c r="L390" s="160"/>
      <c r="M390" s="119">
        <v>0.85</v>
      </c>
      <c r="N390" s="120">
        <v>0.90600000000000003</v>
      </c>
    </row>
    <row r="391" spans="1:14" x14ac:dyDescent="0.25">
      <c r="A391" s="256" t="s">
        <v>47</v>
      </c>
      <c r="B391" s="256"/>
      <c r="C391" s="257"/>
      <c r="D391" s="259" t="s">
        <v>45</v>
      </c>
      <c r="E391" s="260" t="s">
        <v>2</v>
      </c>
      <c r="F391" s="296">
        <v>0.57999999999999996</v>
      </c>
      <c r="G391" s="296">
        <v>0.63</v>
      </c>
      <c r="H391" s="296">
        <v>0.93</v>
      </c>
      <c r="J391"/>
      <c r="K391" s="160"/>
      <c r="L391" s="160"/>
      <c r="M391" s="119">
        <v>0.9</v>
      </c>
      <c r="N391" s="120">
        <v>0.94799999999999995</v>
      </c>
    </row>
    <row r="392" spans="1:14" x14ac:dyDescent="0.25">
      <c r="A392" s="32" t="s">
        <v>37</v>
      </c>
      <c r="B392" s="32"/>
      <c r="C392" s="32"/>
      <c r="D392" s="33" t="s">
        <v>3</v>
      </c>
      <c r="E392" s="38" t="s">
        <v>38</v>
      </c>
      <c r="F392" s="282">
        <f>(F354+F355*F391)*F391</f>
        <v>0.67859999999999987</v>
      </c>
      <c r="G392" s="282">
        <f t="shared" ref="G392:H392" si="115">(G354+G355*G391)*G391</f>
        <v>0.7843500000000001</v>
      </c>
      <c r="H392" s="282">
        <f t="shared" si="115"/>
        <v>1.5763500000000001</v>
      </c>
      <c r="J392"/>
      <c r="K392" s="160"/>
      <c r="L392" s="160"/>
      <c r="M392" s="119">
        <v>0.95</v>
      </c>
      <c r="N392" s="120">
        <v>0.98099999999999998</v>
      </c>
    </row>
    <row r="393" spans="1:14" x14ac:dyDescent="0.25">
      <c r="A393" s="42" t="s">
        <v>48</v>
      </c>
      <c r="B393" s="42"/>
      <c r="C393" s="42"/>
      <c r="D393" s="35" t="s">
        <v>49</v>
      </c>
      <c r="E393" s="37" t="s">
        <v>44</v>
      </c>
      <c r="F393" s="284">
        <f>F350/F392</f>
        <v>0.45682287061597415</v>
      </c>
      <c r="G393" s="284">
        <f t="shared" ref="G393:H393" si="116">G350/G392</f>
        <v>0.56097405494995844</v>
      </c>
      <c r="H393" s="284">
        <f t="shared" si="116"/>
        <v>0.34890728581850478</v>
      </c>
      <c r="J393"/>
      <c r="K393" s="160"/>
      <c r="L393" s="160"/>
      <c r="M393" s="132">
        <v>1</v>
      </c>
      <c r="N393" s="133">
        <v>1</v>
      </c>
    </row>
    <row r="394" spans="1:14" x14ac:dyDescent="0.25">
      <c r="A394" s="1" t="s">
        <v>134</v>
      </c>
    </row>
    <row r="395" spans="1:14" ht="18" x14ac:dyDescent="0.35">
      <c r="A395" t="s">
        <v>146</v>
      </c>
    </row>
    <row r="439" spans="1:6" ht="18.75" x14ac:dyDescent="0.3">
      <c r="A439" s="153" t="s">
        <v>117</v>
      </c>
    </row>
    <row r="440" spans="1:6" ht="15.75" x14ac:dyDescent="0.25">
      <c r="A440" s="20" t="s">
        <v>118</v>
      </c>
    </row>
    <row r="441" spans="1:6" x14ac:dyDescent="0.25">
      <c r="A441" t="s">
        <v>120</v>
      </c>
    </row>
    <row r="442" spans="1:6" x14ac:dyDescent="0.25">
      <c r="A442" t="s">
        <v>119</v>
      </c>
    </row>
    <row r="443" spans="1:6" ht="15.75" x14ac:dyDescent="0.25">
      <c r="A443" s="155" t="s">
        <v>148</v>
      </c>
      <c r="B443" s="156"/>
      <c r="C443" s="156"/>
    </row>
    <row r="444" spans="1:6" ht="15.75" thickBot="1" x14ac:dyDescent="0.3"/>
    <row r="445" spans="1:6" x14ac:dyDescent="0.25">
      <c r="A445" s="14" t="s">
        <v>20</v>
      </c>
      <c r="B445" s="4">
        <v>2</v>
      </c>
      <c r="C445" s="4">
        <v>10</v>
      </c>
      <c r="D445" s="4">
        <v>20</v>
      </c>
      <c r="E445" s="4">
        <v>50</v>
      </c>
      <c r="F445" s="15">
        <v>100</v>
      </c>
    </row>
    <row r="446" spans="1:6" ht="19.5" thickBot="1" x14ac:dyDescent="0.4">
      <c r="A446" s="10" t="s">
        <v>21</v>
      </c>
      <c r="B446" s="8">
        <v>0.13</v>
      </c>
      <c r="C446" s="8">
        <v>0.47</v>
      </c>
      <c r="D446" s="8">
        <v>0.63</v>
      </c>
      <c r="E446" s="8">
        <v>0.86</v>
      </c>
      <c r="F446" s="9">
        <v>1.04</v>
      </c>
    </row>
    <row r="449" spans="1:14" x14ac:dyDescent="0.25">
      <c r="A449" s="22" t="s">
        <v>139</v>
      </c>
      <c r="C449" s="85"/>
      <c r="D449" s="85"/>
      <c r="E449" s="86"/>
      <c r="I449"/>
      <c r="J449"/>
    </row>
    <row r="450" spans="1:14" ht="15.75" thickBot="1" x14ac:dyDescent="0.3">
      <c r="A450" s="82" t="s">
        <v>68</v>
      </c>
      <c r="C450" s="24"/>
      <c r="D450" s="238"/>
      <c r="E450" s="238"/>
      <c r="I450"/>
      <c r="J450"/>
    </row>
    <row r="451" spans="1:14" x14ac:dyDescent="0.25">
      <c r="A451" s="336" t="s">
        <v>25</v>
      </c>
      <c r="B451" s="337"/>
      <c r="C451" s="338" t="s">
        <v>26</v>
      </c>
      <c r="D451" s="339" t="s">
        <v>27</v>
      </c>
      <c r="E451" s="339" t="s">
        <v>114</v>
      </c>
      <c r="F451" s="339" t="s">
        <v>115</v>
      </c>
      <c r="G451" s="339" t="s">
        <v>143</v>
      </c>
      <c r="H451" s="339" t="s">
        <v>152</v>
      </c>
      <c r="I451" s="340" t="s">
        <v>116</v>
      </c>
      <c r="M451" s="87" t="s">
        <v>69</v>
      </c>
      <c r="N451" s="88" t="s">
        <v>70</v>
      </c>
    </row>
    <row r="452" spans="1:14" x14ac:dyDescent="0.25">
      <c r="A452" s="341" t="s">
        <v>28</v>
      </c>
      <c r="B452" s="17"/>
      <c r="C452" s="107" t="s">
        <v>29</v>
      </c>
      <c r="D452" s="304" t="s">
        <v>30</v>
      </c>
      <c r="E452" s="305">
        <v>0.13</v>
      </c>
      <c r="F452" s="305">
        <v>0.47</v>
      </c>
      <c r="G452" s="305">
        <v>0.63</v>
      </c>
      <c r="H452" s="305">
        <v>0.86</v>
      </c>
      <c r="I452" s="342">
        <v>1.04</v>
      </c>
      <c r="M452" s="90" t="s">
        <v>71</v>
      </c>
      <c r="N452" s="91">
        <v>1</v>
      </c>
    </row>
    <row r="453" spans="1:14" x14ac:dyDescent="0.25">
      <c r="A453" s="343" t="s">
        <v>31</v>
      </c>
      <c r="B453" s="17"/>
      <c r="C453" s="33" t="s">
        <v>32</v>
      </c>
      <c r="D453" s="33" t="s">
        <v>2</v>
      </c>
      <c r="E453" s="92">
        <v>0.6</v>
      </c>
      <c r="F453" s="92">
        <v>0.6</v>
      </c>
      <c r="G453" s="92">
        <v>0.6</v>
      </c>
      <c r="H453" s="92">
        <v>0.6</v>
      </c>
      <c r="I453" s="344">
        <v>0.6</v>
      </c>
      <c r="M453" s="93" t="s">
        <v>96</v>
      </c>
      <c r="N453" s="94" t="s">
        <v>97</v>
      </c>
    </row>
    <row r="454" spans="1:14" x14ac:dyDescent="0.25">
      <c r="A454" s="343" t="s">
        <v>33</v>
      </c>
      <c r="B454" s="17"/>
      <c r="C454" s="33" t="s">
        <v>34</v>
      </c>
      <c r="D454" s="33"/>
      <c r="E454" s="34">
        <v>1.2999999999999999E-2</v>
      </c>
      <c r="F454" s="34">
        <v>1.2999999999999999E-2</v>
      </c>
      <c r="G454" s="34">
        <v>1.2999999999999999E-2</v>
      </c>
      <c r="H454" s="34">
        <v>1.2999999999999999E-2</v>
      </c>
      <c r="I454" s="345">
        <v>1.2999999999999999E-2</v>
      </c>
      <c r="M454" s="95">
        <v>0.5</v>
      </c>
      <c r="N454" s="96">
        <v>0.85</v>
      </c>
    </row>
    <row r="455" spans="1:14" x14ac:dyDescent="0.25">
      <c r="A455" s="346" t="s">
        <v>72</v>
      </c>
      <c r="B455" s="154"/>
      <c r="C455" s="35" t="s">
        <v>23</v>
      </c>
      <c r="D455" s="35"/>
      <c r="E455" s="83">
        <v>4.2000000000000003E-2</v>
      </c>
      <c r="F455" s="83">
        <v>4.2000000000000003E-2</v>
      </c>
      <c r="G455" s="83">
        <v>4.2000000000000003E-2</v>
      </c>
      <c r="H455" s="83">
        <v>4.2000000000000003E-2</v>
      </c>
      <c r="I455" s="347">
        <v>4.2000000000000003E-2</v>
      </c>
      <c r="M455" s="95">
        <v>0.68500000000000005</v>
      </c>
      <c r="N455" s="96">
        <v>0.9</v>
      </c>
    </row>
    <row r="456" spans="1:14" x14ac:dyDescent="0.25">
      <c r="A456" s="348" t="s">
        <v>35</v>
      </c>
      <c r="B456" s="306"/>
      <c r="C456" s="36" t="s">
        <v>62</v>
      </c>
      <c r="D456" s="36" t="s">
        <v>2</v>
      </c>
      <c r="E456" s="307">
        <v>0.3</v>
      </c>
      <c r="F456" s="307">
        <v>0.3</v>
      </c>
      <c r="G456" s="307">
        <v>0.3</v>
      </c>
      <c r="H456" s="307">
        <v>0.3</v>
      </c>
      <c r="I456" s="349">
        <v>0.3</v>
      </c>
      <c r="M456" s="98">
        <v>0.57299999999999995</v>
      </c>
      <c r="N456" s="99">
        <f>N454+((M456-M454)*(N455-N454)/(M455-M454))</f>
        <v>0.86972972972972973</v>
      </c>
    </row>
    <row r="457" spans="1:14" x14ac:dyDescent="0.25">
      <c r="A457" s="346" t="s">
        <v>36</v>
      </c>
      <c r="B457" s="154"/>
      <c r="C457" s="35" t="s">
        <v>63</v>
      </c>
      <c r="D457" s="37"/>
      <c r="E457" s="83">
        <v>1.5</v>
      </c>
      <c r="F457" s="83">
        <v>1.5</v>
      </c>
      <c r="G457" s="83">
        <v>1.5</v>
      </c>
      <c r="H457" s="83">
        <v>1.5</v>
      </c>
      <c r="I457" s="347">
        <v>1.5</v>
      </c>
      <c r="M457" s="95">
        <v>1E-3</v>
      </c>
      <c r="N457" s="96">
        <v>0.2</v>
      </c>
    </row>
    <row r="458" spans="1:14" x14ac:dyDescent="0.25">
      <c r="A458" s="343" t="s">
        <v>37</v>
      </c>
      <c r="B458" s="17"/>
      <c r="C458" s="33" t="s">
        <v>3</v>
      </c>
      <c r="D458" s="38" t="s">
        <v>38</v>
      </c>
      <c r="E458" s="39">
        <f>3.1416*E453^2/4</f>
        <v>0.282744</v>
      </c>
      <c r="F458" s="39">
        <f>3.1416*F453^2/4</f>
        <v>0.282744</v>
      </c>
      <c r="G458" s="39">
        <f>3.1416*G453^2/4</f>
        <v>0.282744</v>
      </c>
      <c r="H458" s="39">
        <f>3.1416*H453^2/4</f>
        <v>0.282744</v>
      </c>
      <c r="I458" s="350">
        <f>3.1416*I453^2/4</f>
        <v>0.282744</v>
      </c>
      <c r="M458" s="95">
        <v>5.0000000000000001E-3</v>
      </c>
      <c r="N458" s="96">
        <v>0.25</v>
      </c>
    </row>
    <row r="459" spans="1:14" x14ac:dyDescent="0.25">
      <c r="A459" s="341" t="s">
        <v>25</v>
      </c>
      <c r="B459" s="17"/>
      <c r="C459" s="33" t="s">
        <v>39</v>
      </c>
      <c r="D459" s="32"/>
      <c r="E459" s="41">
        <f>(10.294*E454^2)/E453^5.33</f>
        <v>2.6480409934106219E-2</v>
      </c>
      <c r="F459" s="41">
        <f>(10.294*F454^2)/F453^5.33</f>
        <v>2.6480409934106219E-2</v>
      </c>
      <c r="G459" s="41">
        <f>(10.294*G454^2)/G453^5.33</f>
        <v>2.6480409934106219E-2</v>
      </c>
      <c r="H459" s="41">
        <f>(10.294*H454^2)/H453^5.33</f>
        <v>2.6480409934106219E-2</v>
      </c>
      <c r="I459" s="351">
        <f>(10.294*I454^2)/I453^5.33</f>
        <v>2.6480409934106219E-2</v>
      </c>
      <c r="M459" s="95">
        <v>8.9999999999999993E-3</v>
      </c>
      <c r="N459" s="96">
        <v>0.3</v>
      </c>
    </row>
    <row r="460" spans="1:14" x14ac:dyDescent="0.25">
      <c r="A460" s="341" t="s">
        <v>40</v>
      </c>
      <c r="B460" s="17"/>
      <c r="C460" s="33" t="s">
        <v>65</v>
      </c>
      <c r="D460" s="38" t="s">
        <v>30</v>
      </c>
      <c r="E460" s="39">
        <f>(E455/E459)^0.5</f>
        <v>1.2593959524801166</v>
      </c>
      <c r="F460" s="39">
        <f>(F455/F459)^0.5</f>
        <v>1.2593959524801166</v>
      </c>
      <c r="G460" s="39">
        <f>(G455/G459)^0.5</f>
        <v>1.2593959524801166</v>
      </c>
      <c r="H460" s="39">
        <f>(H455/H459)^0.5</f>
        <v>1.2593959524801166</v>
      </c>
      <c r="I460" s="350">
        <f>(I455/I459)^0.5</f>
        <v>1.2593959524801166</v>
      </c>
      <c r="M460" s="95">
        <v>1.6E-2</v>
      </c>
      <c r="N460" s="96">
        <v>0.35</v>
      </c>
    </row>
    <row r="461" spans="1:14" x14ac:dyDescent="0.25">
      <c r="A461" s="352" t="s">
        <v>41</v>
      </c>
      <c r="B461" s="17"/>
      <c r="C461" s="33" t="s">
        <v>42</v>
      </c>
      <c r="D461" s="32"/>
      <c r="E461" s="47">
        <f>E452^2*E459</f>
        <v>4.4751892788639515E-4</v>
      </c>
      <c r="F461" s="47">
        <f>F452^2*F459</f>
        <v>5.8495225544440638E-3</v>
      </c>
      <c r="G461" s="47">
        <f>G452^2*G459</f>
        <v>1.0510074702846759E-2</v>
      </c>
      <c r="H461" s="47">
        <f>H452^2*H459</f>
        <v>1.9584911187264957E-2</v>
      </c>
      <c r="I461" s="351">
        <f>I452^2*I459</f>
        <v>2.864121138472929E-2</v>
      </c>
      <c r="M461" s="95">
        <v>2.5000000000000001E-2</v>
      </c>
      <c r="N461" s="96">
        <v>0.4</v>
      </c>
    </row>
    <row r="462" spans="1:14" x14ac:dyDescent="0.25">
      <c r="A462" s="353" t="s">
        <v>68</v>
      </c>
      <c r="B462" s="66"/>
      <c r="C462" s="44" t="s">
        <v>98</v>
      </c>
      <c r="D462" s="45" t="s">
        <v>43</v>
      </c>
      <c r="E462" s="46">
        <f>E455/E461</f>
        <v>93.850779001378697</v>
      </c>
      <c r="F462" s="46">
        <f>F455/F461</f>
        <v>7.1800731784667278</v>
      </c>
      <c r="G462" s="46">
        <f>G455/G461</f>
        <v>3.9961656969596877</v>
      </c>
      <c r="H462" s="46">
        <f>H455/H461</f>
        <v>2.1445080653370745</v>
      </c>
      <c r="I462" s="354">
        <f>I455/I461</f>
        <v>1.4664184218965421</v>
      </c>
      <c r="M462" s="95">
        <v>0.04</v>
      </c>
      <c r="N462" s="96">
        <v>0.45</v>
      </c>
    </row>
    <row r="463" spans="1:14" x14ac:dyDescent="0.25">
      <c r="A463" s="355" t="s">
        <v>73</v>
      </c>
      <c r="B463" s="102"/>
      <c r="C463" s="103" t="s">
        <v>74</v>
      </c>
      <c r="D463" s="104" t="s">
        <v>2</v>
      </c>
      <c r="E463" s="105">
        <v>0.13</v>
      </c>
      <c r="F463" s="105">
        <v>0.255</v>
      </c>
      <c r="G463" s="105">
        <v>0.3</v>
      </c>
      <c r="H463" s="105">
        <v>0.36499999999999999</v>
      </c>
      <c r="I463" s="356">
        <v>0.41499999999999998</v>
      </c>
      <c r="M463" s="95">
        <v>0.06</v>
      </c>
      <c r="N463" s="96">
        <v>0.5</v>
      </c>
    </row>
    <row r="464" spans="1:14" x14ac:dyDescent="0.25">
      <c r="A464" s="357" t="s">
        <v>75</v>
      </c>
      <c r="B464" s="17"/>
      <c r="C464" s="107" t="s">
        <v>76</v>
      </c>
      <c r="D464" s="108"/>
      <c r="E464" s="47">
        <f>((E453/2)-E463)/(E453/2)</f>
        <v>0.56666666666666665</v>
      </c>
      <c r="F464" s="47">
        <f>((F453/2)-F463)/(F453/2)</f>
        <v>0.14999999999999997</v>
      </c>
      <c r="G464" s="47">
        <f>((G453/2)-G463)/(G453/2)</f>
        <v>0</v>
      </c>
      <c r="H464" s="47">
        <f>((H453/2)-H463)/(H453/2)</f>
        <v>-0.21666666666666667</v>
      </c>
      <c r="I464" s="351">
        <f>((I453/2)-I463)/(I453/2)</f>
        <v>-0.3833333333333333</v>
      </c>
      <c r="M464" s="95">
        <v>8.7999999999999995E-2</v>
      </c>
      <c r="N464" s="96">
        <v>0.55000000000000004</v>
      </c>
    </row>
    <row r="465" spans="1:14" x14ac:dyDescent="0.25">
      <c r="A465" s="343" t="s">
        <v>77</v>
      </c>
      <c r="B465" s="17"/>
      <c r="C465" s="109" t="s">
        <v>78</v>
      </c>
      <c r="D465" s="108" t="s">
        <v>4</v>
      </c>
      <c r="E465" s="48">
        <f>ASIN(E464)*57.296</f>
        <v>34.518240674426416</v>
      </c>
      <c r="F465" s="48">
        <f>ASIN(F464)*57.296</f>
        <v>8.626959757013001</v>
      </c>
      <c r="G465" s="48">
        <f>ASIN(G464)*57.296</f>
        <v>0</v>
      </c>
      <c r="H465" s="48">
        <f>ASIN(H464)*57.296</f>
        <v>-12.513373516944037</v>
      </c>
      <c r="I465" s="358">
        <f>ASIN(I464)*57.296</f>
        <v>-22.540397203650368</v>
      </c>
      <c r="M465" s="95">
        <v>0.121</v>
      </c>
      <c r="N465" s="96">
        <v>0.6</v>
      </c>
    </row>
    <row r="466" spans="1:14" x14ac:dyDescent="0.25">
      <c r="A466" s="357" t="s">
        <v>75</v>
      </c>
      <c r="B466" s="17"/>
      <c r="C466" s="107" t="s">
        <v>79</v>
      </c>
      <c r="D466" s="110"/>
      <c r="E466" s="47">
        <f>COS(E465*3.1416/180)</f>
        <v>0.82394502754276278</v>
      </c>
      <c r="F466" s="47">
        <f>COS(F465*3.1416/180)</f>
        <v>0.98868585693647337</v>
      </c>
      <c r="G466" s="47">
        <f>COS(G465*3.1416/180)</f>
        <v>1</v>
      </c>
      <c r="H466" s="47">
        <f>COS(H465*3.1416/180)</f>
        <v>0.97624535028824533</v>
      </c>
      <c r="I466" s="351">
        <f>COS(I465*3.1416/180)</f>
        <v>0.9236091338542276</v>
      </c>
      <c r="M466" s="95">
        <v>0.16600000000000001</v>
      </c>
      <c r="N466" s="96">
        <v>0.65</v>
      </c>
    </row>
    <row r="467" spans="1:14" x14ac:dyDescent="0.25">
      <c r="A467" s="357" t="s">
        <v>80</v>
      </c>
      <c r="B467" s="17"/>
      <c r="C467" s="107" t="s">
        <v>81</v>
      </c>
      <c r="D467" s="33" t="s">
        <v>2</v>
      </c>
      <c r="E467" s="49">
        <f>E453*E466</f>
        <v>0.49436701652565762</v>
      </c>
      <c r="F467" s="49">
        <f>F453*F466</f>
        <v>0.593211514161884</v>
      </c>
      <c r="G467" s="49">
        <f>G453*G466</f>
        <v>0.6</v>
      </c>
      <c r="H467" s="49">
        <f>H453*H466</f>
        <v>0.58574721017294717</v>
      </c>
      <c r="I467" s="350">
        <f>I453*I466</f>
        <v>0.55416548031253654</v>
      </c>
      <c r="M467" s="95">
        <v>0.22</v>
      </c>
      <c r="N467" s="96">
        <v>0.7</v>
      </c>
    </row>
    <row r="468" spans="1:14" x14ac:dyDescent="0.25">
      <c r="A468" s="341" t="s">
        <v>37</v>
      </c>
      <c r="B468" s="17"/>
      <c r="C468" s="107" t="s">
        <v>99</v>
      </c>
      <c r="D468" s="107" t="s">
        <v>38</v>
      </c>
      <c r="E468" s="39">
        <f>E458/360*(180-2*E465)+(E463-(E453/2))*E467/2</f>
        <v>4.5129551143930094E-2</v>
      </c>
      <c r="F468" s="39">
        <f>F458/360*(180-2*F465)+(F463-(F453/2))*F467/2</f>
        <v>0.11447351254504161</v>
      </c>
      <c r="G468" s="39">
        <f>G458/360*(180-2*G465)+(G463-(G453/2))*G467/2</f>
        <v>0.141372</v>
      </c>
      <c r="H468" s="39">
        <f>H458/360*(180-2*H465)+(H463-(H453/2))*H467/2</f>
        <v>0.18006479145103649</v>
      </c>
      <c r="I468" s="350">
        <f>I458/360*(180-2*I465)+(I463-(I453/2))*I467/2</f>
        <v>0.20864297104546486</v>
      </c>
      <c r="M468" s="95">
        <v>0.29399999999999998</v>
      </c>
      <c r="N468" s="96">
        <v>0.75</v>
      </c>
    </row>
    <row r="469" spans="1:14" x14ac:dyDescent="0.25">
      <c r="A469" s="343" t="s">
        <v>82</v>
      </c>
      <c r="B469" s="17"/>
      <c r="C469" s="33" t="s">
        <v>4</v>
      </c>
      <c r="D469" s="33" t="s">
        <v>2</v>
      </c>
      <c r="E469" s="39">
        <f>(3.1416*(E453/2)/180)*(180-2*E465)</f>
        <v>0.5810049836574066</v>
      </c>
      <c r="F469" s="39">
        <f>(3.1416*(F453/2)/180)*(180-2*F465)</f>
        <v>0.85213847742455995</v>
      </c>
      <c r="G469" s="39">
        <f>(3.1416*(G453/2)/180)*(180-2*G465)</f>
        <v>0.94247999999999998</v>
      </c>
      <c r="H469" s="39">
        <f>(3.1416*(H453/2)/180)*(180-2*H465)</f>
        <v>1.073520047469438</v>
      </c>
      <c r="I469" s="350">
        <f>(3.1416*(I453/2)/180)*(180-2*I465)</f>
        <v>1.1785230395166268</v>
      </c>
      <c r="M469" s="95">
        <v>0.38200000000000001</v>
      </c>
      <c r="N469" s="96">
        <v>0.8</v>
      </c>
    </row>
    <row r="470" spans="1:14" x14ac:dyDescent="0.25">
      <c r="A470" s="343" t="s">
        <v>83</v>
      </c>
      <c r="B470" s="17"/>
      <c r="C470" s="33" t="s">
        <v>5</v>
      </c>
      <c r="D470" s="33" t="s">
        <v>2</v>
      </c>
      <c r="E470" s="49">
        <f>E468/E469</f>
        <v>7.7674981133278934E-2</v>
      </c>
      <c r="F470" s="49">
        <f>F468/F469</f>
        <v>0.13433674875358034</v>
      </c>
      <c r="G470" s="49">
        <f>G468/G469</f>
        <v>0.15</v>
      </c>
      <c r="H470" s="49">
        <f>H468/H469</f>
        <v>0.16773304967661795</v>
      </c>
      <c r="I470" s="350">
        <f>I468/I469</f>
        <v>0.17703766837773499</v>
      </c>
      <c r="M470" s="95">
        <v>0.5</v>
      </c>
      <c r="N470" s="96">
        <v>0.85</v>
      </c>
    </row>
    <row r="471" spans="1:14" x14ac:dyDescent="0.25">
      <c r="A471" s="343" t="s">
        <v>84</v>
      </c>
      <c r="B471" s="17"/>
      <c r="C471" s="33" t="s">
        <v>7</v>
      </c>
      <c r="D471" s="38" t="s">
        <v>44</v>
      </c>
      <c r="E471" s="111">
        <f>(E470^0.6667*E455^0.5)/E454</f>
        <v>2.8696685616914368</v>
      </c>
      <c r="F471" s="111">
        <f>(F470^0.6667*F455^0.5)/F454</f>
        <v>4.1347455473782428</v>
      </c>
      <c r="G471" s="111">
        <f>(G470^0.6667*G455^0.5)/G454</f>
        <v>4.4502185051243179</v>
      </c>
      <c r="H471" s="111">
        <f>(H470^0.6667*H455^0.5)/H454</f>
        <v>4.794403065392701</v>
      </c>
      <c r="I471" s="358">
        <f>(I470^0.6667*I455^0.5)/I454</f>
        <v>4.9701178023221493</v>
      </c>
      <c r="M471" s="95">
        <v>0.68500000000000005</v>
      </c>
      <c r="N471" s="96">
        <v>0.9</v>
      </c>
    </row>
    <row r="472" spans="1:14" x14ac:dyDescent="0.25">
      <c r="A472" s="346" t="s">
        <v>64</v>
      </c>
      <c r="B472" s="377"/>
      <c r="C472" s="35" t="s">
        <v>8</v>
      </c>
      <c r="D472" s="37" t="s">
        <v>30</v>
      </c>
      <c r="E472" s="50">
        <f>E471*E468</f>
        <v>0.12950685412098201</v>
      </c>
      <c r="F472" s="50">
        <f>F471*F468</f>
        <v>0.47331884628835824</v>
      </c>
      <c r="G472" s="50">
        <f>G471*G468</f>
        <v>0.62913629050643505</v>
      </c>
      <c r="H472" s="50">
        <f>H471*H468</f>
        <v>0.86330318810214679</v>
      </c>
      <c r="I472" s="359">
        <f>I471*I468</f>
        <v>1.0369801447224496</v>
      </c>
      <c r="M472" s="98">
        <v>1.0349999999999999</v>
      </c>
      <c r="N472" s="112">
        <v>0.95</v>
      </c>
    </row>
    <row r="473" spans="1:14" x14ac:dyDescent="0.25">
      <c r="A473" s="341" t="s">
        <v>85</v>
      </c>
      <c r="B473" s="17"/>
      <c r="C473" s="113" t="s">
        <v>100</v>
      </c>
      <c r="D473" s="33"/>
      <c r="E473" s="49">
        <f>1.1*E452^2/(9.806*E453^5)</f>
        <v>2.4379862333382862E-2</v>
      </c>
      <c r="F473" s="49">
        <f>1.1*F452^2/(9.806*F453^5)</f>
        <v>0.3186693248191878</v>
      </c>
      <c r="G473" s="49">
        <f>1.1*G452^2/(9.806*G453^5)</f>
        <v>0.57256611598341178</v>
      </c>
      <c r="H473" s="49">
        <f>1.1*H452^2/(9.806*H453^5)</f>
        <v>1.066943561051477</v>
      </c>
      <c r="I473" s="350">
        <f>1.1*I452^2/(9.806*I453^5)</f>
        <v>1.5603111893365031</v>
      </c>
      <c r="M473" s="90" t="s">
        <v>71</v>
      </c>
      <c r="N473" s="91">
        <v>2</v>
      </c>
    </row>
    <row r="474" spans="1:14" x14ac:dyDescent="0.25">
      <c r="A474" s="343" t="s">
        <v>86</v>
      </c>
      <c r="B474" s="17"/>
      <c r="C474" s="113" t="s">
        <v>101</v>
      </c>
      <c r="D474" s="33"/>
      <c r="E474" s="114">
        <v>0.39400000000000002</v>
      </c>
      <c r="F474" s="114">
        <v>0.76400000000000001</v>
      </c>
      <c r="G474" s="114">
        <v>0.87</v>
      </c>
      <c r="H474" s="114">
        <v>0.95</v>
      </c>
      <c r="I474" s="360">
        <v>0.95</v>
      </c>
      <c r="M474" s="115" t="s">
        <v>102</v>
      </c>
      <c r="N474" s="116" t="s">
        <v>103</v>
      </c>
    </row>
    <row r="475" spans="1:14" x14ac:dyDescent="0.25">
      <c r="A475" s="361" t="s">
        <v>87</v>
      </c>
      <c r="B475" s="17"/>
      <c r="C475" s="117" t="s">
        <v>104</v>
      </c>
      <c r="D475" s="118"/>
      <c r="E475" s="49">
        <f>E474*E453</f>
        <v>0.2364</v>
      </c>
      <c r="F475" s="49">
        <f>F474*F453</f>
        <v>0.45839999999999997</v>
      </c>
      <c r="G475" s="49">
        <f>G474*G453</f>
        <v>0.52200000000000002</v>
      </c>
      <c r="H475" s="49">
        <f>H474*H453</f>
        <v>0.56999999999999995</v>
      </c>
      <c r="I475" s="350">
        <f>I474*I453</f>
        <v>0.56999999999999995</v>
      </c>
      <c r="M475" s="119">
        <v>0.85</v>
      </c>
      <c r="N475" s="120">
        <v>0.90600000000000003</v>
      </c>
    </row>
    <row r="476" spans="1:14" x14ac:dyDescent="0.25">
      <c r="A476" s="362" t="s">
        <v>88</v>
      </c>
      <c r="B476" s="121"/>
      <c r="C476" s="44" t="s">
        <v>105</v>
      </c>
      <c r="D476" s="84" t="s">
        <v>66</v>
      </c>
      <c r="E476" s="52">
        <f>(1.1*E475)/E463</f>
        <v>2.0003076923076923</v>
      </c>
      <c r="F476" s="52">
        <f>(1.1*F475)/F463</f>
        <v>1.9774117647058824</v>
      </c>
      <c r="G476" s="52">
        <f>(1.1*G475)/G463</f>
        <v>1.9140000000000001</v>
      </c>
      <c r="H476" s="52">
        <f>(1.1*H475)/H463</f>
        <v>1.7178082191780821</v>
      </c>
      <c r="I476" s="354">
        <f>(1.1*I475)/I463</f>
        <v>1.5108433734939759</v>
      </c>
      <c r="M476" s="134">
        <v>0.9</v>
      </c>
      <c r="N476" s="120">
        <v>0.94799999999999995</v>
      </c>
    </row>
    <row r="477" spans="1:14" x14ac:dyDescent="0.25">
      <c r="A477" s="341" t="s">
        <v>89</v>
      </c>
      <c r="B477" s="17"/>
      <c r="C477" s="113" t="s">
        <v>106</v>
      </c>
      <c r="D477" s="33" t="s">
        <v>2</v>
      </c>
      <c r="E477" s="122">
        <f>0.9*E475</f>
        <v>0.21276</v>
      </c>
      <c r="F477" s="122">
        <f>0.9*F475</f>
        <v>0.41255999999999998</v>
      </c>
      <c r="G477" s="122">
        <f>0.9*G475</f>
        <v>0.46980000000000005</v>
      </c>
      <c r="H477" s="122">
        <f>0.9*H475</f>
        <v>0.51300000000000001</v>
      </c>
      <c r="I477" s="363">
        <f>0.9*I475</f>
        <v>0.51300000000000001</v>
      </c>
      <c r="M477" s="123">
        <v>0.85499999999999998</v>
      </c>
      <c r="N477" s="124">
        <f>N475+((M477-M475)*(N476-N475)/(M476-M475))</f>
        <v>0.91020000000000001</v>
      </c>
    </row>
    <row r="478" spans="1:14" x14ac:dyDescent="0.25">
      <c r="A478" s="341" t="s">
        <v>90</v>
      </c>
      <c r="B478" s="17"/>
      <c r="C478" s="113" t="s">
        <v>107</v>
      </c>
      <c r="D478" s="33"/>
      <c r="E478" s="49">
        <f>E477/E453</f>
        <v>0.35460000000000003</v>
      </c>
      <c r="F478" s="49">
        <f>F477/F453</f>
        <v>0.68759999999999999</v>
      </c>
      <c r="G478" s="49">
        <f>G477/G453</f>
        <v>0.78300000000000014</v>
      </c>
      <c r="H478" s="49">
        <f>H477/H453</f>
        <v>0.85500000000000009</v>
      </c>
      <c r="I478" s="350">
        <f>I477/I453</f>
        <v>0.85500000000000009</v>
      </c>
      <c r="M478" s="119">
        <v>0.1</v>
      </c>
      <c r="N478" s="120">
        <v>5.2499999999999998E-2</v>
      </c>
    </row>
    <row r="479" spans="1:14" x14ac:dyDescent="0.25">
      <c r="A479" s="343" t="s">
        <v>91</v>
      </c>
      <c r="B479" s="17"/>
      <c r="C479" s="33" t="s">
        <v>108</v>
      </c>
      <c r="D479" s="125"/>
      <c r="E479" s="114">
        <v>0.318</v>
      </c>
      <c r="F479" s="114">
        <v>0.73299999999999998</v>
      </c>
      <c r="G479" s="114">
        <v>0.83899999999999997</v>
      </c>
      <c r="H479" s="114">
        <v>0.91</v>
      </c>
      <c r="I479" s="360">
        <v>0.91</v>
      </c>
      <c r="M479" s="119">
        <v>0.2</v>
      </c>
      <c r="N479" s="120">
        <v>0.14269999999999999</v>
      </c>
    </row>
    <row r="480" spans="1:14" x14ac:dyDescent="0.25">
      <c r="A480" s="343" t="s">
        <v>109</v>
      </c>
      <c r="B480" s="17"/>
      <c r="C480" s="33" t="s">
        <v>110</v>
      </c>
      <c r="D480" s="125" t="s">
        <v>38</v>
      </c>
      <c r="E480" s="49">
        <f>E458*E479</f>
        <v>8.9912592E-2</v>
      </c>
      <c r="F480" s="49">
        <f>F458*F479</f>
        <v>0.207251352</v>
      </c>
      <c r="G480" s="49">
        <f>G458*G479</f>
        <v>0.23722221599999999</v>
      </c>
      <c r="H480" s="49">
        <f>H458*H479</f>
        <v>0.25729703999999998</v>
      </c>
      <c r="I480" s="350">
        <f>I458*I479</f>
        <v>0.25729703999999998</v>
      </c>
      <c r="M480" s="119">
        <v>0.25</v>
      </c>
      <c r="N480" s="120">
        <v>0.19539999999999999</v>
      </c>
    </row>
    <row r="481" spans="1:14" ht="15.75" thickBot="1" x14ac:dyDescent="0.3">
      <c r="A481" s="361" t="s">
        <v>92</v>
      </c>
      <c r="B481" s="17"/>
      <c r="C481" s="117" t="s">
        <v>67</v>
      </c>
      <c r="D481" s="38" t="s">
        <v>2</v>
      </c>
      <c r="E481" s="48">
        <f>0.07057*(E452/E480)^2+E477</f>
        <v>0.36028505549312306</v>
      </c>
      <c r="F481" s="48">
        <f>0.07057*(F452/F480)^2+F477</f>
        <v>0.77548851241987071</v>
      </c>
      <c r="G481" s="48">
        <f>0.07057*(G452/G480)^2+G477</f>
        <v>0.96752619649453175</v>
      </c>
      <c r="H481" s="48">
        <f>0.07057*(H452/H480)^2+H477</f>
        <v>1.3014014963435503</v>
      </c>
      <c r="I481" s="358">
        <f>0.07057*(I452/I480)^2+I477</f>
        <v>1.6659678994661764</v>
      </c>
      <c r="M481" s="119">
        <v>0.3</v>
      </c>
      <c r="N481" s="120">
        <v>0.253</v>
      </c>
    </row>
    <row r="482" spans="1:14" x14ac:dyDescent="0.25">
      <c r="A482" s="361" t="s">
        <v>93</v>
      </c>
      <c r="B482" s="17"/>
      <c r="C482" s="117" t="s">
        <v>45</v>
      </c>
      <c r="D482" s="117" t="s">
        <v>2</v>
      </c>
      <c r="E482" s="308">
        <f>E481-(0.057*E495^2)</f>
        <v>0.34873144892652946</v>
      </c>
      <c r="F482" s="151">
        <f>F481-(0.057*F495^2)</f>
        <v>0.75612565117294139</v>
      </c>
      <c r="G482" s="48">
        <f>G481-(0.057*G495^2)</f>
        <v>0.96244061029400496</v>
      </c>
      <c r="H482" s="48">
        <f>H481-(0.057*H495^2)</f>
        <v>1.3002478901077401</v>
      </c>
      <c r="I482" s="358">
        <f>I481-(0.057*I495^2)</f>
        <v>1.6655396483718887</v>
      </c>
      <c r="M482" s="119">
        <v>0.35</v>
      </c>
      <c r="N482" s="120">
        <v>0.3115</v>
      </c>
    </row>
    <row r="483" spans="1:14" x14ac:dyDescent="0.25">
      <c r="A483" s="364" t="s">
        <v>94</v>
      </c>
      <c r="B483" s="302"/>
      <c r="C483" s="298" t="s">
        <v>111</v>
      </c>
      <c r="D483" s="84" t="s">
        <v>66</v>
      </c>
      <c r="E483" s="199">
        <f>E482/(1.2*E453)</f>
        <v>0.48434923462017981</v>
      </c>
      <c r="F483" s="199">
        <f>F482/(1.2*F453)</f>
        <v>1.0501745155179742</v>
      </c>
      <c r="G483" s="199">
        <f>G482/(1.2*G453)</f>
        <v>1.3367230698527848</v>
      </c>
      <c r="H483" s="199">
        <f>H482/(1.2*H453)</f>
        <v>1.8058998473718613</v>
      </c>
      <c r="I483" s="354">
        <f>I482/(1.2*I453)</f>
        <v>2.3132495116276233</v>
      </c>
      <c r="M483" s="134">
        <v>0.4</v>
      </c>
      <c r="N483" s="120">
        <v>0.374</v>
      </c>
    </row>
    <row r="484" spans="1:14" x14ac:dyDescent="0.25">
      <c r="A484" s="365" t="s">
        <v>92</v>
      </c>
      <c r="B484" s="379"/>
      <c r="C484" s="299" t="s">
        <v>67</v>
      </c>
      <c r="D484" s="299" t="s">
        <v>2</v>
      </c>
      <c r="E484" s="52">
        <f>(0.1834*(E452^2/E458^2))+0.6*E453</f>
        <v>0.39877030705290228</v>
      </c>
      <c r="F484" s="52">
        <f>(0.1834*(F452^2/F458^2))+0.6*F453</f>
        <v>0.86676691289858709</v>
      </c>
      <c r="G484" s="52">
        <f>(0.1834*(G452^2/G458^2))+0.6*G453</f>
        <v>1.2705286904909427</v>
      </c>
      <c r="H484" s="52">
        <f>(0.1834*(H452^2/H458^2))+0.6*H453</f>
        <v>2.0567171062915124</v>
      </c>
      <c r="I484" s="354">
        <f>(0.1834*(I452^2/I458^2))+0.6*I453</f>
        <v>2.8412996513857487</v>
      </c>
      <c r="M484" s="134">
        <v>0.45</v>
      </c>
      <c r="N484" s="120">
        <v>0.436</v>
      </c>
    </row>
    <row r="485" spans="1:14" x14ac:dyDescent="0.25">
      <c r="A485" s="378" t="s">
        <v>93</v>
      </c>
      <c r="B485" s="17"/>
      <c r="C485" s="299" t="s">
        <v>45</v>
      </c>
      <c r="D485" s="299" t="s">
        <v>2</v>
      </c>
      <c r="E485" s="203">
        <f>E484-(0.057*E495^2)</f>
        <v>0.38721670048630868</v>
      </c>
      <c r="F485" s="203">
        <f>F484-(0.057*F495^2)</f>
        <v>0.84740405165165777</v>
      </c>
      <c r="G485" s="203">
        <f>G484-(0.057*G495^2)</f>
        <v>1.265443104290416</v>
      </c>
      <c r="H485" s="203">
        <f>H484-(0.057*H495^2)</f>
        <v>2.055563500055702</v>
      </c>
      <c r="I485" s="366">
        <f>I484-(0.057*I495^2)</f>
        <v>2.8408714002914612</v>
      </c>
      <c r="M485" s="134">
        <v>0.5</v>
      </c>
      <c r="N485" s="120">
        <v>0.5</v>
      </c>
    </row>
    <row r="486" spans="1:14" x14ac:dyDescent="0.25">
      <c r="A486" s="364" t="s">
        <v>95</v>
      </c>
      <c r="B486" s="302"/>
      <c r="C486" s="298" t="s">
        <v>112</v>
      </c>
      <c r="D486" s="84" t="s">
        <v>66</v>
      </c>
      <c r="E486" s="199">
        <f>E463/(1.1*E475)</f>
        <v>0.49992308875557612</v>
      </c>
      <c r="F486" s="199">
        <f>F463/(1.1*F475)</f>
        <v>0.50571156592098998</v>
      </c>
      <c r="G486" s="199">
        <f>G463/(1.1*G475)</f>
        <v>0.52246603970741901</v>
      </c>
      <c r="H486" s="199">
        <f>H463/(1.1*H475)</f>
        <v>0.58213716108452951</v>
      </c>
      <c r="I486" s="354">
        <f>I463/(1.1*I475)</f>
        <v>0.66188197767145129</v>
      </c>
      <c r="M486" s="134">
        <v>0.55000000000000004</v>
      </c>
      <c r="N486" s="120">
        <v>0.56399999999999995</v>
      </c>
    </row>
    <row r="487" spans="1:14" x14ac:dyDescent="0.25">
      <c r="A487" s="365" t="s">
        <v>92</v>
      </c>
      <c r="B487" s="379"/>
      <c r="C487" s="299" t="s">
        <v>67</v>
      </c>
      <c r="D487" s="300" t="s">
        <v>2</v>
      </c>
      <c r="E487" s="301">
        <f>0.07057*(E452/E468)^2+E463</f>
        <v>0.71557805645170669</v>
      </c>
      <c r="F487" s="301">
        <f>0.07057*(F452/F468)^2+F463</f>
        <v>1.4446133114339434</v>
      </c>
      <c r="G487" s="301">
        <f>0.07057*(G452/G468)^2+G463</f>
        <v>1.7014396878505087</v>
      </c>
      <c r="H487" s="301">
        <f>0.07057*(H452/H468)^2+H463</f>
        <v>1.9747536377692174</v>
      </c>
      <c r="I487" s="367">
        <f>0.07057*(I452/I468)^2+I463</f>
        <v>2.1683930438228423</v>
      </c>
      <c r="M487" s="134">
        <v>0.6</v>
      </c>
      <c r="N487" s="120">
        <v>0.625</v>
      </c>
    </row>
    <row r="488" spans="1:14" x14ac:dyDescent="0.25">
      <c r="A488" s="378" t="s">
        <v>93</v>
      </c>
      <c r="B488" s="17"/>
      <c r="C488" s="299" t="s">
        <v>45</v>
      </c>
      <c r="D488" s="299" t="s">
        <v>2</v>
      </c>
      <c r="E488" s="52">
        <f>E487-(0.057*E495^2)</f>
        <v>0.70402444988511315</v>
      </c>
      <c r="F488" s="52">
        <f>F487-(0.057*F495^2)</f>
        <v>1.425250450187014</v>
      </c>
      <c r="G488" s="52">
        <f>G487-(0.057*G495^2)</f>
        <v>1.6963541016499819</v>
      </c>
      <c r="H488" s="52">
        <f>H487-(0.057*H495^2)</f>
        <v>1.9736000315334072</v>
      </c>
      <c r="I488" s="354">
        <f>I487-(0.057*I495^2)</f>
        <v>2.1679647927285548</v>
      </c>
      <c r="M488" s="134">
        <v>0.65</v>
      </c>
      <c r="N488" s="120">
        <v>0.68899999999999995</v>
      </c>
    </row>
    <row r="489" spans="1:14" x14ac:dyDescent="0.25">
      <c r="A489" s="364" t="s">
        <v>94</v>
      </c>
      <c r="B489" s="302"/>
      <c r="C489" s="298" t="s">
        <v>113</v>
      </c>
      <c r="D489" s="84" t="s">
        <v>66</v>
      </c>
      <c r="E489" s="199">
        <f>E488/(1.2*E453)</f>
        <v>0.97781173595154602</v>
      </c>
      <c r="F489" s="52">
        <f>F488/(1.2*F453)</f>
        <v>1.9795145141486306</v>
      </c>
      <c r="G489" s="52">
        <f>G488/(1.2*G453)</f>
        <v>2.3560473634027526</v>
      </c>
      <c r="H489" s="52">
        <f>H488/(1.2*H453)</f>
        <v>2.74111115490751</v>
      </c>
      <c r="I489" s="354">
        <f>I488/(1.2*I453)</f>
        <v>3.0110622121229929</v>
      </c>
      <c r="M489" s="134">
        <v>0.7</v>
      </c>
      <c r="N489" s="120">
        <v>0.747</v>
      </c>
    </row>
    <row r="490" spans="1:14" ht="15.75" thickBot="1" x14ac:dyDescent="0.3">
      <c r="A490" s="361" t="s">
        <v>92</v>
      </c>
      <c r="B490" s="17"/>
      <c r="C490" s="117" t="s">
        <v>67</v>
      </c>
      <c r="D490" s="128" t="s">
        <v>2</v>
      </c>
      <c r="E490" s="111">
        <f>(0.1834*(E452^2/E458^2))+0.6*E463</f>
        <v>0.11677030705290233</v>
      </c>
      <c r="F490" s="111">
        <f>(0.1834*(F452^2/F458^2))+0.6*F463</f>
        <v>0.65976691289858713</v>
      </c>
      <c r="G490" s="111">
        <f>(0.1834*(G452^2/G458^2))+0.6*G463</f>
        <v>1.0905286904909428</v>
      </c>
      <c r="H490" s="111">
        <f>(0.1834*(H452^2/H458^2))+0.6*H463</f>
        <v>1.9157171062915124</v>
      </c>
      <c r="I490" s="358">
        <f>(0.1834*(I452^2/I458^2))+0.6*I463</f>
        <v>2.7302996513857489</v>
      </c>
      <c r="M490" s="119">
        <v>0.75</v>
      </c>
      <c r="N490" s="120">
        <v>0.80500000000000005</v>
      </c>
    </row>
    <row r="491" spans="1:14" ht="15.75" thickBot="1" x14ac:dyDescent="0.3">
      <c r="A491" s="368" t="s">
        <v>93</v>
      </c>
      <c r="B491" s="377"/>
      <c r="C491" s="126" t="s">
        <v>45</v>
      </c>
      <c r="D491" s="127" t="s">
        <v>2</v>
      </c>
      <c r="E491" s="131">
        <f>E490-(0.057*E495^2)</f>
        <v>0.10521670048630874</v>
      </c>
      <c r="F491" s="222">
        <f>F490-(0.057*F495^2)</f>
        <v>0.64040405165165781</v>
      </c>
      <c r="G491" s="309">
        <f>G490-(0.057*G495^2)</f>
        <v>1.085443104290416</v>
      </c>
      <c r="H491" s="310">
        <f>H490-(0.057*H495^2)</f>
        <v>1.9145635000557022</v>
      </c>
      <c r="I491" s="369">
        <f>I490-(0.057*I495^2)</f>
        <v>2.7298714002914615</v>
      </c>
      <c r="M491" s="119">
        <v>0.8</v>
      </c>
      <c r="N491" s="120">
        <v>0.85699999999999998</v>
      </c>
    </row>
    <row r="492" spans="1:14" ht="15.75" thickBot="1" x14ac:dyDescent="0.3">
      <c r="A492" s="380" t="s">
        <v>46</v>
      </c>
      <c r="B492" s="17"/>
      <c r="C492" s="30" t="s">
        <v>29</v>
      </c>
      <c r="D492" s="136" t="s">
        <v>30</v>
      </c>
      <c r="E492" s="122"/>
      <c r="F492" s="49"/>
      <c r="G492" s="49"/>
      <c r="H492" s="49"/>
      <c r="I492" s="350"/>
      <c r="M492" s="119">
        <v>0.85</v>
      </c>
      <c r="N492" s="120">
        <v>0.90600000000000003</v>
      </c>
    </row>
    <row r="493" spans="1:14" ht="15.75" thickBot="1" x14ac:dyDescent="0.3">
      <c r="A493" s="370" t="s">
        <v>47</v>
      </c>
      <c r="B493" s="303"/>
      <c r="C493" s="137" t="s">
        <v>45</v>
      </c>
      <c r="D493" s="138" t="s">
        <v>2</v>
      </c>
      <c r="E493" s="139">
        <v>0.35</v>
      </c>
      <c r="F493" s="139">
        <v>0.64</v>
      </c>
      <c r="G493" s="139">
        <v>1.0900000000000001</v>
      </c>
      <c r="H493" s="140">
        <v>1.91</v>
      </c>
      <c r="I493" s="140">
        <v>2.73</v>
      </c>
      <c r="M493" s="134">
        <v>0.9</v>
      </c>
      <c r="N493" s="120">
        <v>0.94799999999999995</v>
      </c>
    </row>
    <row r="494" spans="1:14" x14ac:dyDescent="0.25">
      <c r="A494" s="343" t="s">
        <v>37</v>
      </c>
      <c r="B494" s="17"/>
      <c r="C494" s="33" t="s">
        <v>3</v>
      </c>
      <c r="D494" s="38" t="s">
        <v>38</v>
      </c>
      <c r="E494" s="48">
        <f>(E456+E457*E493)*E493</f>
        <v>0.28874999999999995</v>
      </c>
      <c r="F494" s="48">
        <f>(F456+F457*F493)*F493</f>
        <v>0.80640000000000001</v>
      </c>
      <c r="G494" s="48">
        <f>(G456+G457*G493)*G493</f>
        <v>2.1091500000000005</v>
      </c>
      <c r="H494" s="48">
        <f>(H456+H457*H493)*H493</f>
        <v>6.0451499999999987</v>
      </c>
      <c r="I494" s="358">
        <f>(I456+I457*I493)*I493</f>
        <v>11.998349999999999</v>
      </c>
      <c r="M494" s="119">
        <v>0.95</v>
      </c>
      <c r="N494" s="120">
        <v>0.98099999999999998</v>
      </c>
    </row>
    <row r="495" spans="1:14" ht="15.75" thickBot="1" x14ac:dyDescent="0.3">
      <c r="A495" s="371" t="s">
        <v>48</v>
      </c>
      <c r="B495" s="372"/>
      <c r="C495" s="373" t="s">
        <v>49</v>
      </c>
      <c r="D495" s="374" t="s">
        <v>44</v>
      </c>
      <c r="E495" s="375">
        <f>E452/E494</f>
        <v>0.45021645021645029</v>
      </c>
      <c r="F495" s="375">
        <f>F452/F494</f>
        <v>0.58283730158730152</v>
      </c>
      <c r="G495" s="375">
        <f>G452/G494</f>
        <v>0.29869852784296985</v>
      </c>
      <c r="H495" s="375">
        <f>H452/H494</f>
        <v>0.14226280572028818</v>
      </c>
      <c r="I495" s="376">
        <f>I452/I494</f>
        <v>8.6678584972100348E-2</v>
      </c>
      <c r="M495" s="132">
        <v>1</v>
      </c>
      <c r="N495" s="133">
        <v>1</v>
      </c>
    </row>
    <row r="496" spans="1:14" x14ac:dyDescent="0.25">
      <c r="A496" s="182" t="s">
        <v>134</v>
      </c>
    </row>
    <row r="497" spans="1:10" x14ac:dyDescent="0.25">
      <c r="A497" s="335" t="s">
        <v>161</v>
      </c>
      <c r="B497" s="335"/>
      <c r="C497" s="335"/>
      <c r="D497" s="335"/>
      <c r="E497" s="335"/>
      <c r="F497" s="335"/>
      <c r="G497" s="335"/>
      <c r="H497" s="335"/>
      <c r="I497" s="335"/>
      <c r="J497" s="335"/>
    </row>
    <row r="498" spans="1:10" x14ac:dyDescent="0.25">
      <c r="A498" s="335"/>
      <c r="B498" s="335"/>
      <c r="C498" s="335"/>
      <c r="D498" s="335"/>
      <c r="E498" s="335"/>
      <c r="F498" s="335"/>
      <c r="G498" s="335"/>
      <c r="H498" s="335"/>
      <c r="I498" s="335"/>
      <c r="J498" s="335"/>
    </row>
    <row r="499" spans="1:10" x14ac:dyDescent="0.25">
      <c r="A499" s="335"/>
      <c r="B499" s="335"/>
      <c r="C499" s="335"/>
      <c r="D499" s="335"/>
      <c r="E499" s="335"/>
      <c r="F499" s="335"/>
      <c r="G499" s="335"/>
      <c r="H499" s="335"/>
      <c r="I499" s="335"/>
      <c r="J499" s="335"/>
    </row>
    <row r="500" spans="1:10" x14ac:dyDescent="0.25">
      <c r="A500" s="335"/>
      <c r="B500" s="335"/>
      <c r="C500" s="335"/>
      <c r="D500" s="335"/>
      <c r="E500" s="335"/>
      <c r="F500" s="335"/>
      <c r="G500" s="335"/>
      <c r="H500" s="335"/>
      <c r="I500" s="335"/>
      <c r="J500" s="335"/>
    </row>
    <row r="501" spans="1:10" x14ac:dyDescent="0.25">
      <c r="A501" s="335"/>
      <c r="B501" s="335"/>
      <c r="C501" s="335"/>
      <c r="D501" s="335"/>
      <c r="E501" s="335"/>
      <c r="F501" s="335"/>
      <c r="G501" s="335"/>
      <c r="H501" s="335"/>
      <c r="I501" s="335"/>
      <c r="J501" s="335"/>
    </row>
    <row r="502" spans="1:10" x14ac:dyDescent="0.25">
      <c r="A502" s="335"/>
      <c r="B502" s="335"/>
      <c r="C502" s="335"/>
      <c r="D502" s="335"/>
      <c r="E502" s="335"/>
      <c r="F502" s="335"/>
      <c r="G502" s="335"/>
      <c r="H502" s="335"/>
      <c r="I502" s="335"/>
      <c r="J502" s="335"/>
    </row>
    <row r="503" spans="1:10" x14ac:dyDescent="0.25">
      <c r="A503" s="335"/>
      <c r="B503" s="335"/>
      <c r="C503" s="335"/>
      <c r="D503" s="335"/>
      <c r="E503" s="335"/>
      <c r="F503" s="335"/>
      <c r="G503" s="335"/>
      <c r="H503" s="335"/>
      <c r="I503" s="335"/>
      <c r="J503" s="335"/>
    </row>
    <row r="537" spans="1:6" ht="18.75" x14ac:dyDescent="0.3">
      <c r="A537" s="153" t="s">
        <v>117</v>
      </c>
    </row>
    <row r="538" spans="1:6" ht="15.75" x14ac:dyDescent="0.25">
      <c r="A538" s="20" t="s">
        <v>118</v>
      </c>
    </row>
    <row r="539" spans="1:6" x14ac:dyDescent="0.25">
      <c r="A539" t="s">
        <v>120</v>
      </c>
    </row>
    <row r="540" spans="1:6" x14ac:dyDescent="0.25">
      <c r="A540" t="s">
        <v>119</v>
      </c>
    </row>
    <row r="541" spans="1:6" ht="15.75" x14ac:dyDescent="0.25">
      <c r="A541" s="155" t="s">
        <v>147</v>
      </c>
      <c r="B541" s="156"/>
      <c r="C541" s="156"/>
    </row>
    <row r="542" spans="1:6" ht="15.75" thickBot="1" x14ac:dyDescent="0.3"/>
    <row r="543" spans="1:6" x14ac:dyDescent="0.25">
      <c r="A543" s="14" t="s">
        <v>20</v>
      </c>
      <c r="B543" s="4">
        <v>2</v>
      </c>
      <c r="C543" s="4">
        <v>10</v>
      </c>
      <c r="D543" s="4">
        <v>20</v>
      </c>
      <c r="E543" s="4">
        <v>50</v>
      </c>
      <c r="F543" s="15">
        <v>100</v>
      </c>
    </row>
    <row r="544" spans="1:6" ht="19.5" thickBot="1" x14ac:dyDescent="0.4">
      <c r="A544" s="10" t="s">
        <v>21</v>
      </c>
      <c r="B544" s="8">
        <v>7.0000000000000007E-2</v>
      </c>
      <c r="C544" s="8">
        <v>0.34</v>
      </c>
      <c r="D544" s="8">
        <v>0.49</v>
      </c>
      <c r="E544" s="8">
        <v>0.68</v>
      </c>
      <c r="F544" s="9">
        <v>0.85</v>
      </c>
    </row>
    <row r="546" spans="1:14" x14ac:dyDescent="0.25">
      <c r="A546" s="22" t="s">
        <v>139</v>
      </c>
      <c r="B546" s="85"/>
      <c r="C546" s="85"/>
      <c r="D546" s="86"/>
      <c r="H546" s="160"/>
    </row>
    <row r="547" spans="1:14" x14ac:dyDescent="0.25">
      <c r="A547" s="82" t="s">
        <v>68</v>
      </c>
      <c r="B547" s="24"/>
      <c r="C547" s="238"/>
      <c r="D547" s="238"/>
      <c r="H547" s="160"/>
    </row>
    <row r="548" spans="1:14" x14ac:dyDescent="0.25">
      <c r="A548" s="27" t="s">
        <v>25</v>
      </c>
      <c r="B548" s="183"/>
      <c r="C548" s="183"/>
      <c r="D548" s="28" t="s">
        <v>26</v>
      </c>
      <c r="E548" s="26" t="s">
        <v>27</v>
      </c>
      <c r="F548" s="26" t="s">
        <v>149</v>
      </c>
      <c r="G548" s="311" t="s">
        <v>150</v>
      </c>
      <c r="J548"/>
      <c r="K548" s="160"/>
      <c r="M548" s="87" t="s">
        <v>69</v>
      </c>
      <c r="N548" s="88" t="s">
        <v>70</v>
      </c>
    </row>
    <row r="549" spans="1:14" x14ac:dyDescent="0.25">
      <c r="A549" s="29" t="s">
        <v>28</v>
      </c>
      <c r="B549" s="254"/>
      <c r="C549" s="254"/>
      <c r="D549" s="30" t="s">
        <v>29</v>
      </c>
      <c r="E549" s="31" t="s">
        <v>30</v>
      </c>
      <c r="F549" s="89">
        <v>7.0000000000000007E-2</v>
      </c>
      <c r="G549" s="89">
        <v>0.34</v>
      </c>
      <c r="J549"/>
      <c r="K549" s="160"/>
      <c r="M549" s="90" t="s">
        <v>71</v>
      </c>
      <c r="N549" s="91">
        <v>1</v>
      </c>
    </row>
    <row r="550" spans="1:14" x14ac:dyDescent="0.25">
      <c r="A550" s="32" t="s">
        <v>31</v>
      </c>
      <c r="B550" s="82"/>
      <c r="C550" s="82"/>
      <c r="D550" s="33" t="s">
        <v>32</v>
      </c>
      <c r="E550" s="33" t="s">
        <v>2</v>
      </c>
      <c r="F550" s="92">
        <v>0.4</v>
      </c>
      <c r="G550" s="92">
        <v>0.4</v>
      </c>
      <c r="J550"/>
      <c r="K550" s="160"/>
      <c r="M550" s="93" t="s">
        <v>96</v>
      </c>
      <c r="N550" s="94" t="s">
        <v>97</v>
      </c>
    </row>
    <row r="551" spans="1:14" x14ac:dyDescent="0.25">
      <c r="A551" s="32" t="s">
        <v>33</v>
      </c>
      <c r="B551" s="82"/>
      <c r="C551" s="82"/>
      <c r="D551" s="33" t="s">
        <v>34</v>
      </c>
      <c r="E551" s="33"/>
      <c r="F551" s="34">
        <v>1.2999999999999999E-2</v>
      </c>
      <c r="G551" s="34">
        <v>1.2999999999999999E-2</v>
      </c>
      <c r="J551"/>
      <c r="K551" s="160"/>
      <c r="M551" s="95">
        <v>0.04</v>
      </c>
      <c r="N551" s="96">
        <v>0.45</v>
      </c>
    </row>
    <row r="552" spans="1:14" x14ac:dyDescent="0.25">
      <c r="A552" s="42" t="s">
        <v>72</v>
      </c>
      <c r="B552" s="23"/>
      <c r="C552" s="23"/>
      <c r="D552" s="35" t="s">
        <v>23</v>
      </c>
      <c r="E552" s="35"/>
      <c r="F552" s="83">
        <v>3.5999999999999997E-2</v>
      </c>
      <c r="G552" s="83">
        <v>3.5999999999999997E-2</v>
      </c>
      <c r="J552"/>
      <c r="K552" s="160"/>
      <c r="M552" s="95">
        <v>0.06</v>
      </c>
      <c r="N552" s="96">
        <v>0.5</v>
      </c>
    </row>
    <row r="553" spans="1:14" x14ac:dyDescent="0.25">
      <c r="A553" s="59" t="s">
        <v>35</v>
      </c>
      <c r="B553" s="97"/>
      <c r="C553" s="97"/>
      <c r="D553" s="36" t="s">
        <v>62</v>
      </c>
      <c r="E553" s="36" t="s">
        <v>2</v>
      </c>
      <c r="F553" s="34">
        <v>0.3</v>
      </c>
      <c r="G553" s="34">
        <v>0.3</v>
      </c>
      <c r="J553"/>
      <c r="K553" s="160"/>
      <c r="M553" s="98">
        <v>5.3999999999999999E-2</v>
      </c>
      <c r="N553" s="99">
        <f>N551+((M553-M551)*(N552-N551)/(M552-M551))</f>
        <v>0.48499999999999999</v>
      </c>
    </row>
    <row r="554" spans="1:14" x14ac:dyDescent="0.25">
      <c r="A554" s="42" t="s">
        <v>36</v>
      </c>
      <c r="B554" s="23"/>
      <c r="C554" s="23"/>
      <c r="D554" s="35" t="s">
        <v>63</v>
      </c>
      <c r="E554" s="37"/>
      <c r="F554" s="83">
        <v>1.5</v>
      </c>
      <c r="G554" s="83">
        <v>1.5</v>
      </c>
      <c r="J554"/>
      <c r="K554" s="160"/>
      <c r="M554" s="95">
        <v>1E-3</v>
      </c>
      <c r="N554" s="96">
        <v>0.2</v>
      </c>
    </row>
    <row r="555" spans="1:14" x14ac:dyDescent="0.25">
      <c r="A555" s="32" t="s">
        <v>37</v>
      </c>
      <c r="B555" s="82"/>
      <c r="C555" s="82"/>
      <c r="D555" s="33" t="s">
        <v>3</v>
      </c>
      <c r="E555" s="38" t="s">
        <v>38</v>
      </c>
      <c r="F555" s="39">
        <f>3.1416*F550^2/4</f>
        <v>0.12566400000000003</v>
      </c>
      <c r="G555" s="49">
        <f>3.1416*G550^2/4</f>
        <v>0.12566400000000003</v>
      </c>
      <c r="J555"/>
      <c r="K555" s="160"/>
      <c r="M555" s="95">
        <v>5.0000000000000001E-3</v>
      </c>
      <c r="N555" s="96">
        <v>0.25</v>
      </c>
    </row>
    <row r="556" spans="1:14" x14ac:dyDescent="0.25">
      <c r="A556" s="64" t="s">
        <v>25</v>
      </c>
      <c r="B556" s="40"/>
      <c r="C556" s="40"/>
      <c r="D556" s="33" t="s">
        <v>39</v>
      </c>
      <c r="E556" s="32"/>
      <c r="F556" s="41">
        <f>(10.294*F551^2)/F550^5.33</f>
        <v>0.2298746678621878</v>
      </c>
      <c r="G556" s="47">
        <f>(10.294*G551^2)/G550^5.33</f>
        <v>0.2298746678621878</v>
      </c>
      <c r="J556"/>
      <c r="K556" s="160"/>
      <c r="M556" s="95">
        <v>8.9999999999999993E-3</v>
      </c>
      <c r="N556" s="96">
        <v>0.3</v>
      </c>
    </row>
    <row r="557" spans="1:14" x14ac:dyDescent="0.25">
      <c r="A557" s="64" t="s">
        <v>40</v>
      </c>
      <c r="B557" s="40"/>
      <c r="C557" s="40"/>
      <c r="D557" s="33" t="s">
        <v>65</v>
      </c>
      <c r="E557" s="38" t="s">
        <v>30</v>
      </c>
      <c r="F557" s="39">
        <f>(F552/F556)^0.5</f>
        <v>0.3957361214565584</v>
      </c>
      <c r="G557" s="49">
        <f>(G552/G556)^0.5</f>
        <v>0.3957361214565584</v>
      </c>
      <c r="J557"/>
      <c r="K557" s="160"/>
      <c r="M557" s="95">
        <v>1.6E-2</v>
      </c>
      <c r="N557" s="96">
        <v>0.35</v>
      </c>
    </row>
    <row r="558" spans="1:14" x14ac:dyDescent="0.25">
      <c r="A558" s="65" t="s">
        <v>41</v>
      </c>
      <c r="B558" s="23"/>
      <c r="C558" s="23"/>
      <c r="D558" s="35" t="s">
        <v>42</v>
      </c>
      <c r="E558" s="42"/>
      <c r="F558" s="43">
        <f>F549^2*F556</f>
        <v>1.1263858725247204E-3</v>
      </c>
      <c r="G558" s="43">
        <f>G549^2*G556</f>
        <v>2.6573511604868913E-2</v>
      </c>
      <c r="J558"/>
      <c r="K558" s="160"/>
      <c r="M558" s="95">
        <v>2.5000000000000001E-2</v>
      </c>
      <c r="N558" s="96">
        <v>0.4</v>
      </c>
    </row>
    <row r="559" spans="1:14" x14ac:dyDescent="0.25">
      <c r="A559" s="66" t="s">
        <v>68</v>
      </c>
      <c r="B559" s="101"/>
      <c r="C559" s="101"/>
      <c r="D559" s="44" t="s">
        <v>98</v>
      </c>
      <c r="E559" s="45" t="s">
        <v>43</v>
      </c>
      <c r="F559" s="46">
        <f>F552/F558</f>
        <v>31.960628127648963</v>
      </c>
      <c r="G559" s="52">
        <f>G552/G558</f>
        <v>1.3547325071408298</v>
      </c>
      <c r="J559"/>
      <c r="K559" s="160"/>
      <c r="M559" s="95">
        <v>0.04</v>
      </c>
      <c r="N559" s="96">
        <v>0.45</v>
      </c>
    </row>
    <row r="560" spans="1:14" x14ac:dyDescent="0.25">
      <c r="A560" s="190" t="s">
        <v>73</v>
      </c>
      <c r="B560" s="102"/>
      <c r="C560" s="102"/>
      <c r="D560" s="103" t="s">
        <v>74</v>
      </c>
      <c r="E560" s="104" t="s">
        <v>2</v>
      </c>
      <c r="F560" s="105">
        <v>0.11</v>
      </c>
      <c r="G560" s="263">
        <v>0.28499999999999998</v>
      </c>
      <c r="J560"/>
      <c r="K560" s="160"/>
      <c r="M560" s="95">
        <v>0.06</v>
      </c>
      <c r="N560" s="96">
        <v>0.5</v>
      </c>
    </row>
    <row r="561" spans="1:14" x14ac:dyDescent="0.25">
      <c r="A561" s="184" t="s">
        <v>75</v>
      </c>
      <c r="B561" s="106"/>
      <c r="C561" s="106"/>
      <c r="D561" s="107" t="s">
        <v>76</v>
      </c>
      <c r="E561" s="108"/>
      <c r="F561" s="47">
        <f>((F550/2)-F560)/(F550/2)</f>
        <v>0.45</v>
      </c>
      <c r="G561" s="47">
        <f>((G550/2)-G560)/(G550/2)</f>
        <v>-0.42499999999999982</v>
      </c>
      <c r="J561"/>
      <c r="K561" s="160"/>
      <c r="M561" s="95">
        <v>8.7999999999999995E-2</v>
      </c>
      <c r="N561" s="96">
        <v>0.55000000000000004</v>
      </c>
    </row>
    <row r="562" spans="1:14" x14ac:dyDescent="0.25">
      <c r="A562" s="32" t="s">
        <v>77</v>
      </c>
      <c r="B562" s="82"/>
      <c r="C562" s="82"/>
      <c r="D562" s="109" t="s">
        <v>78</v>
      </c>
      <c r="E562" s="108" t="s">
        <v>4</v>
      </c>
      <c r="F562" s="48">
        <f>ASIN(F561)*57.296</f>
        <v>26.743786866053892</v>
      </c>
      <c r="G562" s="48">
        <f>ASIN(G561)*57.296</f>
        <v>-25.150760197896837</v>
      </c>
      <c r="J562"/>
      <c r="K562" s="160"/>
      <c r="M562" s="95">
        <v>0.121</v>
      </c>
      <c r="N562" s="96">
        <v>0.6</v>
      </c>
    </row>
    <row r="563" spans="1:14" x14ac:dyDescent="0.25">
      <c r="A563" s="184" t="s">
        <v>75</v>
      </c>
      <c r="B563" s="106"/>
      <c r="C563" s="106"/>
      <c r="D563" s="107" t="s">
        <v>79</v>
      </c>
      <c r="E563" s="110"/>
      <c r="F563" s="47">
        <f>COS(F562*3.1416/180)</f>
        <v>0.89302725549616024</v>
      </c>
      <c r="G563" s="47">
        <f>COS(G562*3.1416/180)</f>
        <v>0.90519219533112794</v>
      </c>
      <c r="J563"/>
      <c r="K563" s="160"/>
      <c r="M563" s="95">
        <v>0.16600000000000001</v>
      </c>
      <c r="N563" s="96">
        <v>0.65</v>
      </c>
    </row>
    <row r="564" spans="1:14" x14ac:dyDescent="0.25">
      <c r="A564" s="184" t="s">
        <v>80</v>
      </c>
      <c r="B564" s="106"/>
      <c r="C564" s="106"/>
      <c r="D564" s="107" t="s">
        <v>81</v>
      </c>
      <c r="E564" s="33" t="s">
        <v>2</v>
      </c>
      <c r="F564" s="49">
        <f>F550*F563</f>
        <v>0.35721090219846413</v>
      </c>
      <c r="G564" s="49">
        <f>G550*G563</f>
        <v>0.36207687813245121</v>
      </c>
      <c r="J564"/>
      <c r="K564" s="160"/>
      <c r="M564" s="95">
        <v>0.22</v>
      </c>
      <c r="N564" s="96">
        <v>0.7</v>
      </c>
    </row>
    <row r="565" spans="1:14" x14ac:dyDescent="0.25">
      <c r="A565" s="64" t="s">
        <v>37</v>
      </c>
      <c r="B565" s="40"/>
      <c r="C565" s="40"/>
      <c r="D565" s="107" t="s">
        <v>99</v>
      </c>
      <c r="E565" s="107" t="s">
        <v>38</v>
      </c>
      <c r="F565" s="39">
        <f>F555/360*(180-2*F562)+(F560-(F550/2))*F564/2</f>
        <v>2.8086780330314691E-2</v>
      </c>
      <c r="G565" s="49">
        <f>G555/360*(180-2*G562)+(G560-(G550/2))*G564/2</f>
        <v>9.5778851373454224E-2</v>
      </c>
      <c r="J565"/>
      <c r="K565" s="160"/>
      <c r="M565" s="95">
        <v>0.29399999999999998</v>
      </c>
      <c r="N565" s="96">
        <v>0.75</v>
      </c>
    </row>
    <row r="566" spans="1:14" x14ac:dyDescent="0.25">
      <c r="A566" s="32" t="s">
        <v>82</v>
      </c>
      <c r="B566" s="82"/>
      <c r="C566" s="82"/>
      <c r="D566" s="33" t="s">
        <v>4</v>
      </c>
      <c r="E566" s="33" t="s">
        <v>2</v>
      </c>
      <c r="F566" s="39">
        <f>(3.1416*(F550/2)/180)*(180-2*F562)</f>
        <v>0.44161270929245572</v>
      </c>
      <c r="G566" s="49">
        <f>(3.1416*(G550/2)/180)*(180-2*G562)</f>
        <v>0.80390584052825043</v>
      </c>
      <c r="J566"/>
      <c r="K566" s="160"/>
      <c r="M566" s="95">
        <v>0.38200000000000001</v>
      </c>
      <c r="N566" s="96">
        <v>0.8</v>
      </c>
    </row>
    <row r="567" spans="1:14" x14ac:dyDescent="0.25">
      <c r="A567" s="32" t="s">
        <v>83</v>
      </c>
      <c r="B567" s="82"/>
      <c r="C567" s="82"/>
      <c r="D567" s="33" t="s">
        <v>5</v>
      </c>
      <c r="E567" s="33" t="s">
        <v>2</v>
      </c>
      <c r="F567" s="49">
        <f>F565/F566</f>
        <v>6.3600480102383936E-2</v>
      </c>
      <c r="G567" s="49">
        <f>G565/G566</f>
        <v>0.11914187774841575</v>
      </c>
      <c r="J567"/>
      <c r="K567" s="160"/>
      <c r="M567" s="95">
        <v>0.5</v>
      </c>
      <c r="N567" s="96">
        <v>0.85</v>
      </c>
    </row>
    <row r="568" spans="1:14" x14ac:dyDescent="0.25">
      <c r="A568" s="32" t="s">
        <v>84</v>
      </c>
      <c r="B568" s="82"/>
      <c r="C568" s="82"/>
      <c r="D568" s="33" t="s">
        <v>7</v>
      </c>
      <c r="E568" s="38" t="s">
        <v>44</v>
      </c>
      <c r="F568" s="111">
        <f>(F567^0.6667*F552^0.5)/F551</f>
        <v>2.325278321838077</v>
      </c>
      <c r="G568" s="48">
        <f>(G567^0.6667*G552^0.5)/G551</f>
        <v>3.5336217596796335</v>
      </c>
      <c r="J568"/>
      <c r="K568" s="160"/>
      <c r="M568" s="95">
        <v>0.68500000000000005</v>
      </c>
      <c r="N568" s="96">
        <v>0.9</v>
      </c>
    </row>
    <row r="569" spans="1:14" x14ac:dyDescent="0.25">
      <c r="A569" s="42" t="s">
        <v>64</v>
      </c>
      <c r="B569" s="23"/>
      <c r="C569" s="23"/>
      <c r="D569" s="35" t="s">
        <v>8</v>
      </c>
      <c r="E569" s="37" t="s">
        <v>30</v>
      </c>
      <c r="F569" s="50">
        <f>F568*F565</f>
        <v>6.5309581432308861E-2</v>
      </c>
      <c r="G569" s="50">
        <f>G568*G565</f>
        <v>0.33844623333035939</v>
      </c>
      <c r="J569"/>
      <c r="K569" s="160"/>
      <c r="M569" s="98">
        <v>1.0349999999999999</v>
      </c>
      <c r="N569" s="112">
        <v>0.95</v>
      </c>
    </row>
    <row r="570" spans="1:14" x14ac:dyDescent="0.25">
      <c r="A570" s="64" t="s">
        <v>85</v>
      </c>
      <c r="B570" s="40"/>
      <c r="C570" s="40"/>
      <c r="D570" s="113" t="s">
        <v>100</v>
      </c>
      <c r="E570" s="33"/>
      <c r="F570" s="49">
        <f>1.1*F549^2/(9.806*F550^5)</f>
        <v>5.3678073373444816E-2</v>
      </c>
      <c r="G570" s="49">
        <f>1.1*G549^2/(9.806*G550^5)</f>
        <v>1.2663643432592286</v>
      </c>
      <c r="J570"/>
      <c r="K570" s="160"/>
      <c r="M570" s="90" t="s">
        <v>71</v>
      </c>
      <c r="N570" s="91">
        <v>2</v>
      </c>
    </row>
    <row r="571" spans="1:14" x14ac:dyDescent="0.25">
      <c r="A571" s="32" t="s">
        <v>86</v>
      </c>
      <c r="B571" s="82"/>
      <c r="C571" s="82"/>
      <c r="D571" s="113" t="s">
        <v>101</v>
      </c>
      <c r="E571" s="33"/>
      <c r="F571" s="114">
        <v>0.48499999999999999</v>
      </c>
      <c r="G571" s="114">
        <v>0.95</v>
      </c>
      <c r="J571"/>
      <c r="K571" s="160"/>
      <c r="M571" s="115" t="s">
        <v>102</v>
      </c>
      <c r="N571" s="116" t="s">
        <v>103</v>
      </c>
    </row>
    <row r="572" spans="1:14" x14ac:dyDescent="0.25">
      <c r="A572" s="264" t="s">
        <v>87</v>
      </c>
      <c r="B572" s="51"/>
      <c r="C572" s="51"/>
      <c r="D572" s="117" t="s">
        <v>104</v>
      </c>
      <c r="E572" s="118"/>
      <c r="F572" s="49">
        <f>F571*F550</f>
        <v>0.19400000000000001</v>
      </c>
      <c r="G572" s="49">
        <f>G571*G550</f>
        <v>0.38</v>
      </c>
      <c r="J572"/>
      <c r="K572" s="160"/>
      <c r="M572" s="119">
        <v>0.85</v>
      </c>
      <c r="N572" s="120">
        <v>0.90600000000000003</v>
      </c>
    </row>
    <row r="573" spans="1:14" x14ac:dyDescent="0.25">
      <c r="A573" s="265" t="s">
        <v>88</v>
      </c>
      <c r="B573" s="121"/>
      <c r="C573" s="121"/>
      <c r="D573" s="44" t="s">
        <v>105</v>
      </c>
      <c r="E573" s="84" t="s">
        <v>66</v>
      </c>
      <c r="F573" s="52">
        <f>(1.1*F572)/F560</f>
        <v>1.9400000000000004</v>
      </c>
      <c r="G573" s="52">
        <f>(1.1*G572)/G560</f>
        <v>1.466666666666667</v>
      </c>
      <c r="J573"/>
      <c r="K573" s="160"/>
      <c r="M573" s="119">
        <v>0.9</v>
      </c>
      <c r="N573" s="120">
        <v>0.94799999999999995</v>
      </c>
    </row>
    <row r="574" spans="1:14" x14ac:dyDescent="0.25">
      <c r="A574" s="64" t="s">
        <v>89</v>
      </c>
      <c r="B574" s="40"/>
      <c r="C574" s="40"/>
      <c r="D574" s="113" t="s">
        <v>106</v>
      </c>
      <c r="E574" s="33" t="s">
        <v>2</v>
      </c>
      <c r="F574" s="122">
        <f>0.9*F572</f>
        <v>0.17460000000000001</v>
      </c>
      <c r="G574" s="122">
        <f>0.9*G572</f>
        <v>0.34200000000000003</v>
      </c>
      <c r="J574"/>
      <c r="K574" s="160"/>
      <c r="M574" s="123">
        <v>0.85499999999999998</v>
      </c>
      <c r="N574" s="124">
        <f>N572+((M574-M572)*(N573-N572)/(M573-M572))</f>
        <v>0.91020000000000001</v>
      </c>
    </row>
    <row r="575" spans="1:14" x14ac:dyDescent="0.25">
      <c r="A575" s="64" t="s">
        <v>90</v>
      </c>
      <c r="B575" s="40"/>
      <c r="C575" s="40"/>
      <c r="D575" s="113" t="s">
        <v>107</v>
      </c>
      <c r="E575" s="33"/>
      <c r="F575" s="49">
        <f>F574/F550</f>
        <v>0.4365</v>
      </c>
      <c r="G575" s="49">
        <f>G574/G550</f>
        <v>0.85499999999999998</v>
      </c>
      <c r="J575"/>
      <c r="K575" s="160"/>
      <c r="M575" s="119">
        <v>0.1</v>
      </c>
      <c r="N575" s="120">
        <v>5.2499999999999998E-2</v>
      </c>
    </row>
    <row r="576" spans="1:14" x14ac:dyDescent="0.25">
      <c r="A576" s="32" t="s">
        <v>91</v>
      </c>
      <c r="B576" s="82"/>
      <c r="C576" s="82"/>
      <c r="D576" s="33" t="s">
        <v>108</v>
      </c>
      <c r="E576" s="125"/>
      <c r="F576" s="114">
        <v>0.42</v>
      </c>
      <c r="G576" s="114">
        <v>0.91</v>
      </c>
      <c r="J576"/>
      <c r="K576" s="160"/>
      <c r="M576" s="119">
        <v>0.2</v>
      </c>
      <c r="N576" s="120">
        <v>0.14269999999999999</v>
      </c>
    </row>
    <row r="577" spans="1:14" x14ac:dyDescent="0.25">
      <c r="A577" s="32" t="s">
        <v>109</v>
      </c>
      <c r="B577" s="82"/>
      <c r="C577" s="82"/>
      <c r="D577" s="33" t="s">
        <v>110</v>
      </c>
      <c r="E577" s="125" t="s">
        <v>38</v>
      </c>
      <c r="F577" s="49">
        <f>F555*F576</f>
        <v>5.2778880000000007E-2</v>
      </c>
      <c r="G577" s="49">
        <f>G555*G576</f>
        <v>0.11435424000000002</v>
      </c>
      <c r="J577"/>
      <c r="K577" s="160"/>
      <c r="M577" s="119">
        <v>0.25</v>
      </c>
      <c r="N577" s="120">
        <v>0.19539999999999999</v>
      </c>
    </row>
    <row r="578" spans="1:14" ht="15.75" thickBot="1" x14ac:dyDescent="0.3">
      <c r="A578" s="264" t="s">
        <v>92</v>
      </c>
      <c r="B578" s="51"/>
      <c r="C578" s="51"/>
      <c r="D578" s="117" t="s">
        <v>67</v>
      </c>
      <c r="E578" s="38" t="s">
        <v>2</v>
      </c>
      <c r="F578" s="48">
        <f>0.07057*(F549/F577)^2+F574</f>
        <v>0.29873545987904876</v>
      </c>
      <c r="G578" s="48">
        <f>0.07057*(G549/G577)^2+G574</f>
        <v>0.96584027271180917</v>
      </c>
      <c r="J578"/>
      <c r="K578" s="160"/>
      <c r="M578" s="119">
        <v>0.3</v>
      </c>
      <c r="N578" s="120">
        <v>0.253</v>
      </c>
    </row>
    <row r="579" spans="1:14" ht="15.75" thickBot="1" x14ac:dyDescent="0.3">
      <c r="A579" s="130" t="s">
        <v>93</v>
      </c>
      <c r="B579" s="185"/>
      <c r="C579" s="185"/>
      <c r="D579" s="126" t="s">
        <v>45</v>
      </c>
      <c r="E579" s="126" t="s">
        <v>2</v>
      </c>
      <c r="F579" s="201">
        <f>F578-(0.057*F592^2)</f>
        <v>0.29258793547095019</v>
      </c>
      <c r="G579" s="197">
        <f>G578-(0.057*G592^2)</f>
        <v>0.96540103051365156</v>
      </c>
      <c r="J579"/>
      <c r="K579" s="160"/>
      <c r="M579" s="119">
        <v>0.35</v>
      </c>
      <c r="N579" s="120">
        <v>0.3115</v>
      </c>
    </row>
    <row r="580" spans="1:14" x14ac:dyDescent="0.25">
      <c r="A580" s="265" t="s">
        <v>94</v>
      </c>
      <c r="B580" s="121"/>
      <c r="C580" s="121"/>
      <c r="D580" s="44" t="s">
        <v>111</v>
      </c>
      <c r="E580" s="84" t="s">
        <v>66</v>
      </c>
      <c r="F580" s="258">
        <f>F579/(1.2*F550)</f>
        <v>0.60955819889781293</v>
      </c>
      <c r="G580" s="199">
        <f>G579/(1.2*G550)</f>
        <v>2.0112521469034408</v>
      </c>
      <c r="J580"/>
      <c r="K580" s="160"/>
      <c r="M580" s="119">
        <v>0.4</v>
      </c>
      <c r="N580" s="120">
        <v>0.374</v>
      </c>
    </row>
    <row r="581" spans="1:14" x14ac:dyDescent="0.25">
      <c r="A581" s="264" t="s">
        <v>92</v>
      </c>
      <c r="B581" s="51"/>
      <c r="C581" s="51"/>
      <c r="D581" s="117" t="s">
        <v>67</v>
      </c>
      <c r="E581" s="128" t="s">
        <v>2</v>
      </c>
      <c r="F581" s="48">
        <f>(0.1834*(F549^2/F555^2))+0.6*F550</f>
        <v>0.29690804315568392</v>
      </c>
      <c r="G581" s="48">
        <f>(0.1834*(G549^2/G555^2))+0.6*G550</f>
        <v>1.5825652630198082</v>
      </c>
      <c r="J581"/>
      <c r="K581" s="160"/>
      <c r="M581" s="119">
        <v>0.45</v>
      </c>
      <c r="N581" s="120">
        <v>0.436</v>
      </c>
    </row>
    <row r="582" spans="1:14" x14ac:dyDescent="0.25">
      <c r="A582" s="130" t="s">
        <v>93</v>
      </c>
      <c r="B582" s="185"/>
      <c r="C582" s="185"/>
      <c r="D582" s="126" t="s">
        <v>45</v>
      </c>
      <c r="E582" s="127" t="s">
        <v>2</v>
      </c>
      <c r="F582" s="198">
        <f>F581-(0.057*F592^2)</f>
        <v>0.29076051874758535</v>
      </c>
      <c r="G582" s="186">
        <f>G581-(0.057*G592^2)</f>
        <v>1.5821260208216505</v>
      </c>
      <c r="J582"/>
      <c r="K582" s="160"/>
      <c r="M582" s="119">
        <v>0.5</v>
      </c>
      <c r="N582" s="120">
        <v>0.5</v>
      </c>
    </row>
    <row r="583" spans="1:14" x14ac:dyDescent="0.25">
      <c r="A583" s="265" t="s">
        <v>95</v>
      </c>
      <c r="B583" s="121"/>
      <c r="C583" s="121"/>
      <c r="D583" s="44" t="s">
        <v>112</v>
      </c>
      <c r="E583" s="84" t="s">
        <v>66</v>
      </c>
      <c r="F583" s="199">
        <f>F560/(1.1*F572)</f>
        <v>0.51546391752577314</v>
      </c>
      <c r="G583" s="199">
        <f>G560/(1.1*G572)</f>
        <v>0.68181818181818166</v>
      </c>
      <c r="J583"/>
      <c r="K583" s="160"/>
      <c r="M583" s="119">
        <v>0.55000000000000004</v>
      </c>
      <c r="N583" s="120">
        <v>0.56399999999999995</v>
      </c>
    </row>
    <row r="584" spans="1:14" x14ac:dyDescent="0.25">
      <c r="A584" s="264" t="s">
        <v>92</v>
      </c>
      <c r="B584" s="51"/>
      <c r="C584" s="51"/>
      <c r="D584" s="117" t="s">
        <v>67</v>
      </c>
      <c r="E584" s="38" t="s">
        <v>2</v>
      </c>
      <c r="F584" s="129">
        <f>0.07057*(F549/F565)^2+F560</f>
        <v>0.54834118993205305</v>
      </c>
      <c r="G584" s="129">
        <f>0.07057*(G549/G565)^2+G560</f>
        <v>1.1742803634297003</v>
      </c>
      <c r="J584"/>
      <c r="K584" s="160"/>
      <c r="M584" s="119">
        <v>0.6</v>
      </c>
      <c r="N584" s="120">
        <v>0.625</v>
      </c>
    </row>
    <row r="585" spans="1:14" x14ac:dyDescent="0.25">
      <c r="A585" s="130" t="s">
        <v>93</v>
      </c>
      <c r="B585" s="185"/>
      <c r="C585" s="185"/>
      <c r="D585" s="126" t="s">
        <v>45</v>
      </c>
      <c r="E585" s="126" t="s">
        <v>2</v>
      </c>
      <c r="F585" s="50">
        <f>F584-(0.057*F592^2)</f>
        <v>0.54219366552395454</v>
      </c>
      <c r="G585" s="50">
        <f>G584-(0.057*G592^2)</f>
        <v>1.1738411212315427</v>
      </c>
      <c r="J585"/>
      <c r="K585" s="160"/>
      <c r="M585" s="119">
        <v>0.65</v>
      </c>
      <c r="N585" s="120">
        <v>0.68899999999999995</v>
      </c>
    </row>
    <row r="586" spans="1:14" ht="15.75" thickBot="1" x14ac:dyDescent="0.3">
      <c r="A586" s="265" t="s">
        <v>94</v>
      </c>
      <c r="B586" s="121"/>
      <c r="C586" s="121"/>
      <c r="D586" s="44" t="s">
        <v>113</v>
      </c>
      <c r="E586" s="84" t="s">
        <v>66</v>
      </c>
      <c r="F586" s="199">
        <f>F585/(1.2*F550)</f>
        <v>1.1295701365082387</v>
      </c>
      <c r="G586" s="312">
        <f>G585/(1.2*G550)</f>
        <v>2.4455023358990475</v>
      </c>
      <c r="J586"/>
      <c r="K586" s="160"/>
      <c r="M586" s="119">
        <v>0.7</v>
      </c>
      <c r="N586" s="120">
        <v>0.747</v>
      </c>
    </row>
    <row r="587" spans="1:14" ht="15.75" thickBot="1" x14ac:dyDescent="0.3">
      <c r="A587" s="264" t="s">
        <v>92</v>
      </c>
      <c r="B587" s="51"/>
      <c r="C587" s="51"/>
      <c r="D587" s="117" t="s">
        <v>67</v>
      </c>
      <c r="E587" s="128" t="s">
        <v>2</v>
      </c>
      <c r="F587" s="111">
        <f>(0.1834*(F549^2/F555^2))+0.6*F560</f>
        <v>0.1229080431556839</v>
      </c>
      <c r="G587" s="320">
        <f>(0.1834*(G549^2/G555^2))+0.6*G560</f>
        <v>1.5135652630198082</v>
      </c>
      <c r="J587"/>
      <c r="K587" s="160"/>
      <c r="M587" s="119">
        <v>0.75</v>
      </c>
      <c r="N587" s="120">
        <v>0.80500000000000005</v>
      </c>
    </row>
    <row r="588" spans="1:14" x14ac:dyDescent="0.25">
      <c r="A588" s="130" t="s">
        <v>93</v>
      </c>
      <c r="B588" s="185"/>
      <c r="C588" s="185"/>
      <c r="D588" s="126" t="s">
        <v>45</v>
      </c>
      <c r="E588" s="127" t="s">
        <v>2</v>
      </c>
      <c r="F588" s="202">
        <f>F587-(0.057*F592^2)</f>
        <v>0.11676051874758535</v>
      </c>
      <c r="G588" s="50">
        <f>G587-(0.057*G592^2)</f>
        <v>1.5131260208216506</v>
      </c>
      <c r="J588"/>
      <c r="K588" s="160"/>
      <c r="M588" s="119">
        <v>0.8</v>
      </c>
      <c r="N588" s="120">
        <v>0.85699999999999998</v>
      </c>
    </row>
    <row r="589" spans="1:14" x14ac:dyDescent="0.25">
      <c r="A589" s="27" t="s">
        <v>46</v>
      </c>
      <c r="B589" s="183"/>
      <c r="C589" s="183"/>
      <c r="D589" s="187" t="s">
        <v>29</v>
      </c>
      <c r="E589" s="188" t="s">
        <v>30</v>
      </c>
      <c r="F589" s="189"/>
      <c r="G589" s="189"/>
      <c r="J589"/>
      <c r="K589" s="160"/>
      <c r="M589" s="119">
        <v>0.85</v>
      </c>
      <c r="N589" s="120">
        <v>0.90600000000000003</v>
      </c>
    </row>
    <row r="590" spans="1:14" x14ac:dyDescent="0.25">
      <c r="A590" s="190" t="s">
        <v>47</v>
      </c>
      <c r="B590" s="102"/>
      <c r="C590" s="102"/>
      <c r="D590" s="191" t="s">
        <v>45</v>
      </c>
      <c r="E590" s="103" t="s">
        <v>2</v>
      </c>
      <c r="F590" s="192">
        <v>0.28999999999999998</v>
      </c>
      <c r="G590" s="192">
        <v>1.51</v>
      </c>
      <c r="J590"/>
      <c r="K590" s="160"/>
      <c r="M590" s="119">
        <v>0.9</v>
      </c>
      <c r="N590" s="120">
        <v>0.94799999999999995</v>
      </c>
    </row>
    <row r="591" spans="1:14" x14ac:dyDescent="0.25">
      <c r="A591" s="32" t="s">
        <v>37</v>
      </c>
      <c r="B591" s="82"/>
      <c r="C591" s="82"/>
      <c r="D591" s="33" t="s">
        <v>3</v>
      </c>
      <c r="E591" s="38" t="s">
        <v>38</v>
      </c>
      <c r="F591" s="48">
        <f>(F553+F554*F590)*F590</f>
        <v>0.21314999999999995</v>
      </c>
      <c r="G591" s="48">
        <f>(G553+G554*G590)*G590</f>
        <v>3.8731499999999999</v>
      </c>
      <c r="J591"/>
      <c r="K591" s="160"/>
      <c r="M591" s="119">
        <v>0.95</v>
      </c>
      <c r="N591" s="120">
        <v>0.98099999999999998</v>
      </c>
    </row>
    <row r="592" spans="1:14" x14ac:dyDescent="0.25">
      <c r="A592" s="42" t="s">
        <v>48</v>
      </c>
      <c r="B592" s="23"/>
      <c r="C592" s="23"/>
      <c r="D592" s="35" t="s">
        <v>49</v>
      </c>
      <c r="E592" s="37" t="s">
        <v>44</v>
      </c>
      <c r="F592" s="50">
        <f>F549/F591</f>
        <v>0.3284072249589492</v>
      </c>
      <c r="G592" s="50">
        <f>G549/G591</f>
        <v>8.778384519060714E-2</v>
      </c>
      <c r="J592"/>
      <c r="K592" s="160"/>
      <c r="M592" s="132">
        <v>1</v>
      </c>
      <c r="N592" s="133">
        <v>1</v>
      </c>
    </row>
    <row r="595" spans="1:12" x14ac:dyDescent="0.25">
      <c r="A595" s="22" t="s">
        <v>24</v>
      </c>
    </row>
    <row r="596" spans="1:12" x14ac:dyDescent="0.25">
      <c r="A596" s="82" t="s">
        <v>40</v>
      </c>
      <c r="C596" s="24"/>
      <c r="D596" s="25"/>
      <c r="E596" s="25"/>
      <c r="F596" s="53"/>
    </row>
    <row r="597" spans="1:12" x14ac:dyDescent="0.25">
      <c r="A597" s="27" t="s">
        <v>25</v>
      </c>
      <c r="B597" s="183"/>
      <c r="C597" s="183"/>
      <c r="D597" s="28" t="s">
        <v>26</v>
      </c>
      <c r="E597" s="28" t="s">
        <v>27</v>
      </c>
      <c r="F597" s="26" t="s">
        <v>143</v>
      </c>
      <c r="G597" s="26" t="s">
        <v>152</v>
      </c>
      <c r="H597" s="26" t="s">
        <v>144</v>
      </c>
      <c r="J597"/>
      <c r="K597" s="160"/>
      <c r="L597" s="160"/>
    </row>
    <row r="598" spans="1:12" x14ac:dyDescent="0.25">
      <c r="A598" s="29" t="s">
        <v>28</v>
      </c>
      <c r="B598" s="254"/>
      <c r="C598" s="254"/>
      <c r="D598" s="30" t="s">
        <v>29</v>
      </c>
      <c r="E598" s="31" t="s">
        <v>30</v>
      </c>
      <c r="F598" s="2">
        <v>0.49</v>
      </c>
      <c r="G598" s="2">
        <v>0.68</v>
      </c>
      <c r="H598" s="2">
        <v>0.85</v>
      </c>
      <c r="J598"/>
      <c r="K598" s="160"/>
      <c r="L598" s="160"/>
    </row>
    <row r="599" spans="1:12" x14ac:dyDescent="0.25">
      <c r="A599" s="32" t="s">
        <v>31</v>
      </c>
      <c r="B599" s="82"/>
      <c r="C599" s="82"/>
      <c r="D599" s="33" t="s">
        <v>32</v>
      </c>
      <c r="E599" s="33" t="s">
        <v>2</v>
      </c>
      <c r="F599" s="34">
        <v>0.4</v>
      </c>
      <c r="G599" s="34">
        <v>0.4</v>
      </c>
      <c r="H599" s="34">
        <v>0.4</v>
      </c>
      <c r="J599"/>
      <c r="K599" s="160"/>
      <c r="L599" s="160"/>
    </row>
    <row r="600" spans="1:12" x14ac:dyDescent="0.25">
      <c r="A600" s="32" t="s">
        <v>33</v>
      </c>
      <c r="B600" s="82"/>
      <c r="C600" s="82"/>
      <c r="D600" s="33" t="s">
        <v>34</v>
      </c>
      <c r="E600" s="33"/>
      <c r="F600" s="34">
        <v>1.2999999999999999E-2</v>
      </c>
      <c r="G600" s="34">
        <v>1.2999999999999999E-2</v>
      </c>
      <c r="H600" s="34">
        <v>1.2999999999999999E-2</v>
      </c>
      <c r="J600"/>
      <c r="K600" s="160"/>
      <c r="L600" s="160"/>
    </row>
    <row r="601" spans="1:12" x14ac:dyDescent="0.25">
      <c r="A601" s="42" t="s">
        <v>50</v>
      </c>
      <c r="B601" s="23"/>
      <c r="C601" s="23"/>
      <c r="D601" s="35" t="s">
        <v>23</v>
      </c>
      <c r="E601" s="35"/>
      <c r="F601" s="58">
        <v>3.5999999999999997E-2</v>
      </c>
      <c r="G601" s="58">
        <v>3.5999999999999997E-2</v>
      </c>
      <c r="H601" s="58">
        <v>3.5999999999999997E-2</v>
      </c>
      <c r="J601"/>
      <c r="K601" s="160"/>
      <c r="L601" s="160"/>
    </row>
    <row r="602" spans="1:12" x14ac:dyDescent="0.25">
      <c r="A602" s="59" t="s">
        <v>35</v>
      </c>
      <c r="B602" s="97"/>
      <c r="C602" s="97"/>
      <c r="D602" s="36" t="s">
        <v>51</v>
      </c>
      <c r="E602" s="36" t="s">
        <v>2</v>
      </c>
      <c r="F602" s="60">
        <v>0.3</v>
      </c>
      <c r="G602" s="60">
        <v>0.3</v>
      </c>
      <c r="H602" s="61">
        <v>0.3</v>
      </c>
      <c r="J602"/>
      <c r="K602" s="160"/>
      <c r="L602" s="160"/>
    </row>
    <row r="603" spans="1:12" x14ac:dyDescent="0.25">
      <c r="A603" s="42" t="s">
        <v>36</v>
      </c>
      <c r="B603" s="23"/>
      <c r="C603" s="23"/>
      <c r="D603" s="35" t="s">
        <v>2</v>
      </c>
      <c r="E603" s="37"/>
      <c r="F603" s="62">
        <v>1.5</v>
      </c>
      <c r="G603" s="62">
        <v>1.5</v>
      </c>
      <c r="H603" s="63">
        <v>1.5</v>
      </c>
      <c r="J603"/>
      <c r="K603" s="160"/>
      <c r="L603" s="160"/>
    </row>
    <row r="604" spans="1:12" x14ac:dyDescent="0.25">
      <c r="A604" s="32" t="s">
        <v>37</v>
      </c>
      <c r="B604" s="82"/>
      <c r="C604" s="82"/>
      <c r="D604" s="33" t="s">
        <v>3</v>
      </c>
      <c r="E604" s="38" t="s">
        <v>38</v>
      </c>
      <c r="F604" s="39">
        <f>3.1416*F599^2/4</f>
        <v>0.12566400000000003</v>
      </c>
      <c r="G604" s="49">
        <f>3.1416*G599^2/4</f>
        <v>0.12566400000000003</v>
      </c>
      <c r="H604" s="49">
        <f>3.1416*H599^2/4</f>
        <v>0.12566400000000003</v>
      </c>
      <c r="J604"/>
      <c r="K604" s="160"/>
      <c r="L604" s="160"/>
    </row>
    <row r="605" spans="1:12" x14ac:dyDescent="0.25">
      <c r="A605" s="64" t="s">
        <v>25</v>
      </c>
      <c r="B605" s="40"/>
      <c r="C605" s="40"/>
      <c r="D605" s="33" t="s">
        <v>39</v>
      </c>
      <c r="E605" s="32"/>
      <c r="F605" s="41">
        <f>(10.294*F600^2)/F599^5.33</f>
        <v>0.2298746678621878</v>
      </c>
      <c r="G605" s="47">
        <f>(10.294*G600^2)/G599^5.33</f>
        <v>0.2298746678621878</v>
      </c>
      <c r="H605" s="47">
        <f>(10.294*H600^2)/H599^5.33</f>
        <v>0.2298746678621878</v>
      </c>
      <c r="J605"/>
      <c r="K605" s="160"/>
      <c r="L605" s="160"/>
    </row>
    <row r="606" spans="1:12" x14ac:dyDescent="0.25">
      <c r="A606" s="64" t="s">
        <v>40</v>
      </c>
      <c r="B606" s="40"/>
      <c r="C606" s="40"/>
      <c r="D606" s="33" t="s">
        <v>52</v>
      </c>
      <c r="E606" s="38" t="s">
        <v>30</v>
      </c>
      <c r="F606" s="39">
        <f>(F601/F605)^0.5</f>
        <v>0.3957361214565584</v>
      </c>
      <c r="G606" s="49">
        <f>(G601/G605)^0.5</f>
        <v>0.3957361214565584</v>
      </c>
      <c r="H606" s="49">
        <f>(H601/H605)^0.5</f>
        <v>0.3957361214565584</v>
      </c>
      <c r="J606"/>
      <c r="K606" s="160"/>
      <c r="L606" s="160"/>
    </row>
    <row r="607" spans="1:12" x14ac:dyDescent="0.25">
      <c r="A607" s="65" t="s">
        <v>41</v>
      </c>
      <c r="B607" s="23"/>
      <c r="C607" s="23"/>
      <c r="D607" s="35" t="s">
        <v>42</v>
      </c>
      <c r="E607" s="42"/>
      <c r="F607" s="43">
        <f>F598^2*F605</f>
        <v>5.5192907753711287E-2</v>
      </c>
      <c r="G607" s="43">
        <f>G598^2*G605</f>
        <v>0.10629404641947565</v>
      </c>
      <c r="H607" s="43">
        <f>H598^2*H605</f>
        <v>0.16608444753043067</v>
      </c>
      <c r="J607"/>
      <c r="K607" s="160"/>
      <c r="L607" s="160"/>
    </row>
    <row r="608" spans="1:12" x14ac:dyDescent="0.25">
      <c r="A608" s="66" t="s">
        <v>53</v>
      </c>
      <c r="B608" s="101"/>
      <c r="C608" s="101"/>
      <c r="D608" s="44" t="s">
        <v>54</v>
      </c>
      <c r="E608" s="45" t="s">
        <v>43</v>
      </c>
      <c r="F608" s="46">
        <f>F607/F601</f>
        <v>1.5331363264919804</v>
      </c>
      <c r="G608" s="46">
        <f>G607/G601</f>
        <v>2.9526124005409904</v>
      </c>
      <c r="H608" s="52">
        <f>H607/H601</f>
        <v>4.613456875845297</v>
      </c>
      <c r="J608"/>
      <c r="K608" s="160"/>
      <c r="L608" s="160"/>
    </row>
    <row r="609" spans="1:12" x14ac:dyDescent="0.25">
      <c r="A609" s="67" t="s">
        <v>55</v>
      </c>
      <c r="B609" s="313"/>
      <c r="C609" s="313"/>
      <c r="D609" s="68" t="s">
        <v>56</v>
      </c>
      <c r="E609" s="38" t="s">
        <v>44</v>
      </c>
      <c r="F609" s="69">
        <f>F598/F604</f>
        <v>3.8992869875222809</v>
      </c>
      <c r="G609" s="69">
        <f>G598/G604</f>
        <v>5.4112554112554108</v>
      </c>
      <c r="H609" s="69">
        <f>H598/H604</f>
        <v>6.7640692640692626</v>
      </c>
      <c r="J609"/>
      <c r="K609" s="160"/>
      <c r="L609" s="160"/>
    </row>
    <row r="610" spans="1:12" x14ac:dyDescent="0.25">
      <c r="A610" s="67" t="s">
        <v>57</v>
      </c>
      <c r="B610" s="313"/>
      <c r="C610" s="313"/>
      <c r="D610" s="68" t="s">
        <v>58</v>
      </c>
      <c r="E610" s="70" t="s">
        <v>2</v>
      </c>
      <c r="F610" s="69">
        <f>F609^2*0.056</f>
        <v>0.85144858461939277</v>
      </c>
      <c r="G610" s="69">
        <f>G609^2*0.056</f>
        <v>1.6397743670470941</v>
      </c>
      <c r="H610" s="69">
        <f>H609^2*0.056</f>
        <v>2.5621474485110838</v>
      </c>
      <c r="J610"/>
      <c r="K610" s="160"/>
      <c r="L610" s="160"/>
    </row>
    <row r="611" spans="1:12" x14ac:dyDescent="0.25">
      <c r="A611" s="71" t="s">
        <v>59</v>
      </c>
      <c r="B611" s="314"/>
      <c r="C611" s="314"/>
      <c r="D611" s="72" t="s">
        <v>60</v>
      </c>
      <c r="E611" s="72" t="s">
        <v>2</v>
      </c>
      <c r="F611" s="73">
        <f>(1.5*F610+F599)-0.056*F615^2</f>
        <v>1.6765738264677328</v>
      </c>
      <c r="G611" s="316">
        <f>(1.5*G610+G599)-0.056*G615^2</f>
        <v>2.859511288830118</v>
      </c>
      <c r="H611" s="73">
        <f>(1.5*H610+H599)-0.056*H615^2</f>
        <v>4.2431704333222786</v>
      </c>
      <c r="J611"/>
      <c r="K611" s="160"/>
      <c r="L611" s="160"/>
    </row>
    <row r="612" spans="1:12" x14ac:dyDescent="0.25">
      <c r="A612" s="27" t="s">
        <v>46</v>
      </c>
      <c r="B612" s="183"/>
      <c r="C612" s="183"/>
      <c r="D612" s="74"/>
      <c r="E612" s="75"/>
      <c r="F612" s="76"/>
      <c r="G612" s="2"/>
      <c r="H612" s="2"/>
      <c r="J612"/>
      <c r="K612" s="160"/>
      <c r="L612" s="160"/>
    </row>
    <row r="613" spans="1:12" x14ac:dyDescent="0.25">
      <c r="A613" s="77" t="s">
        <v>47</v>
      </c>
      <c r="B613" s="315"/>
      <c r="C613" s="315"/>
      <c r="D613" s="78" t="s">
        <v>45</v>
      </c>
      <c r="E613" s="78" t="s">
        <v>2</v>
      </c>
      <c r="F613" s="79">
        <v>1.68</v>
      </c>
      <c r="G613" s="79">
        <v>2.86</v>
      </c>
      <c r="H613" s="79">
        <v>4.24</v>
      </c>
      <c r="J613"/>
      <c r="K613" s="160"/>
      <c r="L613" s="160"/>
    </row>
    <row r="614" spans="1:12" x14ac:dyDescent="0.25">
      <c r="A614" s="32" t="s">
        <v>37</v>
      </c>
      <c r="B614" s="82"/>
      <c r="C614" s="82"/>
      <c r="D614" s="33" t="s">
        <v>3</v>
      </c>
      <c r="E614" s="38" t="s">
        <v>38</v>
      </c>
      <c r="F614" s="48">
        <f>(F602+F603*F613)*F613</f>
        <v>4.7375999999999996</v>
      </c>
      <c r="G614" s="48">
        <f>(G602+G603*G613)*G613</f>
        <v>13.1274</v>
      </c>
      <c r="H614" s="48">
        <f>(H602+H603*H613)*H613</f>
        <v>28.238400000000002</v>
      </c>
      <c r="J614"/>
      <c r="K614" s="160"/>
      <c r="L614" s="160"/>
    </row>
    <row r="615" spans="1:12" x14ac:dyDescent="0.25">
      <c r="A615" s="42" t="s">
        <v>48</v>
      </c>
      <c r="B615" s="23"/>
      <c r="C615" s="23"/>
      <c r="D615" s="35" t="s">
        <v>49</v>
      </c>
      <c r="E615" s="37" t="s">
        <v>44</v>
      </c>
      <c r="F615" s="50">
        <f>F598/F614</f>
        <v>0.10342789598108748</v>
      </c>
      <c r="G615" s="50">
        <f>G598/G614</f>
        <v>5.1800051800051802E-2</v>
      </c>
      <c r="H615" s="50">
        <f>H598/H614</f>
        <v>3.0100855572553684E-2</v>
      </c>
      <c r="J615"/>
      <c r="K615" s="160"/>
      <c r="L615" s="160"/>
    </row>
    <row r="616" spans="1:12" x14ac:dyDescent="0.25">
      <c r="A616" s="182" t="s">
        <v>134</v>
      </c>
    </row>
    <row r="617" spans="1:12" ht="18" customHeight="1" x14ac:dyDescent="0.25">
      <c r="A617" s="334" t="s">
        <v>154</v>
      </c>
      <c r="B617" s="334"/>
      <c r="C617" s="334"/>
      <c r="D617" s="334"/>
      <c r="E617" s="334"/>
      <c r="F617" s="334"/>
      <c r="G617" s="334"/>
      <c r="H617" s="334"/>
      <c r="I617" s="334"/>
      <c r="J617" s="334"/>
      <c r="K617" s="334"/>
    </row>
    <row r="618" spans="1:12" x14ac:dyDescent="0.25">
      <c r="A618" s="334"/>
      <c r="B618" s="334"/>
      <c r="C618" s="334"/>
      <c r="D618" s="334"/>
      <c r="E618" s="334"/>
      <c r="F618" s="334"/>
      <c r="G618" s="334"/>
      <c r="H618" s="334"/>
      <c r="I618" s="334"/>
      <c r="J618" s="334"/>
      <c r="K618" s="334"/>
    </row>
  </sheetData>
  <mergeCells count="3">
    <mergeCell ref="A617:K618"/>
    <mergeCell ref="A224:L225"/>
    <mergeCell ref="A497:J503"/>
  </mergeCells>
  <pageMargins left="0.7" right="0.7" top="0.78740157499999996" bottom="0.78740157499999996" header="0.3" footer="0.3"/>
  <pageSetup paperSize="9" scale="78" orientation="portrait" r:id="rId1"/>
  <headerFooter>
    <oddFooter>&amp;C&amp;P</oddFooter>
  </headerFooter>
  <rowBreaks count="3" manualBreakCount="3">
    <brk id="387" max="11" man="1"/>
    <brk id="438" max="16383" man="1"/>
    <brk id="50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4"/>
  <sheetViews>
    <sheetView showWhiteSpace="0" view="pageLayout" topLeftCell="A82" zoomScaleNormal="100" workbookViewId="0">
      <selection activeCell="R15" sqref="R15"/>
    </sheetView>
  </sheetViews>
  <sheetFormatPr defaultRowHeight="15" x14ac:dyDescent="0.25"/>
  <cols>
    <col min="1" max="1" width="9" customWidth="1"/>
    <col min="2" max="2" width="8.28515625" customWidth="1"/>
    <col min="3" max="3" width="8.140625" customWidth="1"/>
    <col min="4" max="4" width="6.85546875" customWidth="1"/>
    <col min="5" max="5" width="8.7109375" customWidth="1"/>
    <col min="6" max="6" width="7.42578125" customWidth="1"/>
    <col min="7" max="7" width="7.85546875" customWidth="1"/>
    <col min="8" max="8" width="7.42578125" customWidth="1"/>
    <col min="9" max="9" width="6.85546875" style="160" customWidth="1"/>
    <col min="10" max="10" width="7.5703125" style="160" customWidth="1"/>
    <col min="11" max="11" width="8" hidden="1" customWidth="1"/>
    <col min="12" max="12" width="8" customWidth="1"/>
    <col min="13" max="13" width="9.140625" hidden="1" customWidth="1"/>
    <col min="14" max="14" width="0" hidden="1" customWidth="1"/>
  </cols>
  <sheetData>
    <row r="1" spans="1:12" ht="18.75" x14ac:dyDescent="0.3">
      <c r="A1" s="153" t="s">
        <v>117</v>
      </c>
    </row>
    <row r="2" spans="1:12" ht="15.75" x14ac:dyDescent="0.25">
      <c r="A2" s="20" t="s">
        <v>158</v>
      </c>
    </row>
    <row r="3" spans="1:12" x14ac:dyDescent="0.25">
      <c r="A3" t="s">
        <v>120</v>
      </c>
    </row>
    <row r="4" spans="1:12" x14ac:dyDescent="0.25">
      <c r="A4" t="s">
        <v>160</v>
      </c>
    </row>
    <row r="6" spans="1:12" s="17" customFormat="1" ht="15.75" x14ac:dyDescent="0.25">
      <c r="A6" s="155" t="s">
        <v>155</v>
      </c>
      <c r="B6" s="156"/>
      <c r="C6" s="156"/>
      <c r="D6"/>
      <c r="E6"/>
      <c r="F6"/>
      <c r="G6"/>
      <c r="H6"/>
      <c r="I6" s="160"/>
      <c r="J6" s="160"/>
      <c r="K6"/>
      <c r="L6"/>
    </row>
    <row r="7" spans="1:12" s="17" customFormat="1" ht="15.75" thickBot="1" x14ac:dyDescent="0.3">
      <c r="A7" t="s">
        <v>159</v>
      </c>
      <c r="B7"/>
      <c r="C7"/>
      <c r="D7"/>
      <c r="E7"/>
      <c r="F7"/>
      <c r="G7"/>
      <c r="H7"/>
      <c r="I7" s="160"/>
      <c r="J7" s="160"/>
      <c r="K7"/>
      <c r="L7"/>
    </row>
    <row r="8" spans="1:12" s="160" customFormat="1" x14ac:dyDescent="0.25">
      <c r="A8" s="323" t="s">
        <v>20</v>
      </c>
      <c r="B8" s="324">
        <v>2</v>
      </c>
      <c r="C8" s="324">
        <v>10</v>
      </c>
      <c r="D8" s="324">
        <v>20</v>
      </c>
      <c r="E8" s="324">
        <v>50</v>
      </c>
      <c r="F8" s="21">
        <v>100</v>
      </c>
      <c r="G8" s="325"/>
      <c r="H8" s="325"/>
      <c r="K8" s="325"/>
      <c r="L8" s="325"/>
    </row>
    <row r="9" spans="1:12" s="160" customFormat="1" ht="19.5" thickBot="1" x14ac:dyDescent="0.4">
      <c r="A9" s="326" t="s">
        <v>21</v>
      </c>
      <c r="B9" s="80">
        <v>0.14000000000000001</v>
      </c>
      <c r="C9" s="80">
        <v>0.35</v>
      </c>
      <c r="D9" s="80">
        <v>0.46</v>
      </c>
      <c r="E9" s="80">
        <v>0.68</v>
      </c>
      <c r="F9" s="81">
        <v>0.86</v>
      </c>
      <c r="G9" s="325"/>
      <c r="H9" s="325"/>
      <c r="K9" s="325"/>
      <c r="L9" s="325"/>
    </row>
    <row r="10" spans="1:12" s="160" customFormat="1" x14ac:dyDescent="0.25">
      <c r="A10" s="157"/>
      <c r="G10" s="325"/>
      <c r="H10" s="325"/>
      <c r="K10" s="325"/>
      <c r="L10" s="325"/>
    </row>
    <row r="11" spans="1:12" ht="15.75" thickBot="1" x14ac:dyDescent="0.3">
      <c r="A11" s="157" t="s">
        <v>125</v>
      </c>
    </row>
    <row r="12" spans="1:12" x14ac:dyDescent="0.25">
      <c r="A12" s="11" t="s">
        <v>13</v>
      </c>
      <c r="B12" s="12">
        <v>7.5</v>
      </c>
      <c r="C12" s="13"/>
    </row>
    <row r="13" spans="1:12" x14ac:dyDescent="0.25">
      <c r="A13" s="5" t="s">
        <v>14</v>
      </c>
      <c r="B13" s="2">
        <v>0.55000000000000004</v>
      </c>
      <c r="C13" s="6" t="s">
        <v>2</v>
      </c>
    </row>
    <row r="14" spans="1:12" x14ac:dyDescent="0.25">
      <c r="A14" s="5" t="s">
        <v>15</v>
      </c>
      <c r="B14" s="2">
        <v>3.2000000000000001E-2</v>
      </c>
      <c r="C14" s="6"/>
      <c r="D14" t="s">
        <v>126</v>
      </c>
    </row>
    <row r="15" spans="1:12" ht="15.75" thickBot="1" x14ac:dyDescent="0.3">
      <c r="A15" s="177" t="s">
        <v>16</v>
      </c>
      <c r="B15" s="178">
        <v>0.5</v>
      </c>
      <c r="C15" s="179" t="s">
        <v>17</v>
      </c>
    </row>
    <row r="16" spans="1:12" ht="18" x14ac:dyDescent="0.35">
      <c r="A16" s="14" t="s">
        <v>0</v>
      </c>
      <c r="B16" s="4" t="s">
        <v>3</v>
      </c>
      <c r="C16" s="4" t="s">
        <v>4</v>
      </c>
      <c r="D16" s="4" t="s">
        <v>5</v>
      </c>
      <c r="E16" s="4" t="s">
        <v>6</v>
      </c>
      <c r="F16" s="145" t="s">
        <v>7</v>
      </c>
      <c r="G16" s="239" t="s">
        <v>8</v>
      </c>
      <c r="H16" s="216" t="s">
        <v>9</v>
      </c>
      <c r="I16" s="211" t="s">
        <v>10</v>
      </c>
      <c r="J16" s="21" t="s">
        <v>61</v>
      </c>
      <c r="K16" s="157" t="s">
        <v>124</v>
      </c>
    </row>
    <row r="17" spans="1:12" ht="18" thickBot="1" x14ac:dyDescent="0.3">
      <c r="A17" s="141" t="s">
        <v>1</v>
      </c>
      <c r="B17" s="142" t="s">
        <v>18</v>
      </c>
      <c r="C17" s="142" t="s">
        <v>1</v>
      </c>
      <c r="D17" s="142" t="s">
        <v>1</v>
      </c>
      <c r="E17" s="142" t="s">
        <v>123</v>
      </c>
      <c r="F17" s="146" t="s">
        <v>11</v>
      </c>
      <c r="G17" s="240" t="s">
        <v>19</v>
      </c>
      <c r="H17" s="217"/>
      <c r="I17" s="212" t="s">
        <v>12</v>
      </c>
      <c r="J17" s="143" t="s">
        <v>12</v>
      </c>
    </row>
    <row r="18" spans="1:12" ht="15.75" thickBot="1" x14ac:dyDescent="0.3">
      <c r="A18" s="244">
        <v>0</v>
      </c>
      <c r="B18" s="144">
        <f>($B$13+$B$12*A18)*A18</f>
        <v>0</v>
      </c>
      <c r="C18" s="144">
        <f>$B$13+2*A18*SQRT(1+$B$12^2)</f>
        <v>0.55000000000000004</v>
      </c>
      <c r="D18" s="144">
        <f>B18/C18</f>
        <v>0</v>
      </c>
      <c r="E18" s="144">
        <f>(1/$B$14)*D18^(1/6)</f>
        <v>0</v>
      </c>
      <c r="F18" s="243">
        <f>E18*SQRT(D18*$B$15/100)</f>
        <v>0</v>
      </c>
      <c r="G18" s="245">
        <f>F18*B18</f>
        <v>0</v>
      </c>
      <c r="H18" s="246" t="s">
        <v>22</v>
      </c>
      <c r="I18" s="144">
        <f>98.06*D18*$B$15</f>
        <v>0</v>
      </c>
      <c r="J18" s="164">
        <f>(I18*($B$13+2*K18))/(1.13*$B$13+1.33*K18)</f>
        <v>0</v>
      </c>
      <c r="K18" s="165">
        <f>A18*SQRT(1+$B$12^2)</f>
        <v>0</v>
      </c>
    </row>
    <row r="19" spans="1:12" ht="15.75" thickBot="1" x14ac:dyDescent="0.3">
      <c r="A19" s="247">
        <v>0.05</v>
      </c>
      <c r="B19" s="3">
        <f t="shared" ref="B19:B30" si="0">($B$13+$B$12*A19)*A19</f>
        <v>4.6250000000000006E-2</v>
      </c>
      <c r="C19" s="3">
        <f t="shared" ref="C19:C30" si="1">$B$13+2*A19*SQRT(1+$B$12^2)</f>
        <v>1.3066372975210778</v>
      </c>
      <c r="D19" s="3">
        <f t="shared" ref="D19:D24" si="2">B19/C19</f>
        <v>3.5396203742036482E-2</v>
      </c>
      <c r="E19" s="3">
        <f t="shared" ref="E19:E30" si="3">(1/$B$14)*D19^(1/6)</f>
        <v>17.906448969643193</v>
      </c>
      <c r="F19" s="147">
        <f t="shared" ref="F19:F30" si="4">E19*SQRT(D19*$B$15/100)</f>
        <v>0.23821703491606511</v>
      </c>
      <c r="G19" s="241">
        <f t="shared" ref="G19:G24" si="5">F19*B19</f>
        <v>1.1017537864868013E-2</v>
      </c>
      <c r="H19" s="149">
        <f>(1.1*F19^2)/(9.81*A19)</f>
        <v>0.12726216370361254</v>
      </c>
      <c r="I19" s="3">
        <f t="shared" ref="I19:I30" si="6">98.06*D19*$B$15</f>
        <v>1.7354758694720487</v>
      </c>
      <c r="J19" s="18">
        <f t="shared" ref="J19:J30" si="7">(I19*($B$13+2*K19))/(1.13*$B$13+1.33*K19)</f>
        <v>2.0162803268412688</v>
      </c>
      <c r="K19" s="165">
        <f t="shared" ref="K19:K30" si="8">A19*SQRT(1+$B$12^2)</f>
        <v>0.37831864876053894</v>
      </c>
    </row>
    <row r="20" spans="1:12" ht="15.75" thickBot="1" x14ac:dyDescent="0.3">
      <c r="A20" s="247">
        <v>0.1</v>
      </c>
      <c r="B20" s="3">
        <f t="shared" si="0"/>
        <v>0.13</v>
      </c>
      <c r="C20" s="3">
        <f t="shared" si="1"/>
        <v>2.0632745950421558</v>
      </c>
      <c r="D20" s="3">
        <f t="shared" si="2"/>
        <v>6.3006640178857973E-2</v>
      </c>
      <c r="E20" s="3">
        <f t="shared" si="3"/>
        <v>19.712773955975436</v>
      </c>
      <c r="F20" s="147">
        <f t="shared" si="4"/>
        <v>0.34988546785726138</v>
      </c>
      <c r="G20" s="241">
        <f t="shared" si="5"/>
        <v>4.5485110821443978E-2</v>
      </c>
      <c r="H20" s="149">
        <f t="shared" ref="H20:H30" si="9">(1.1*F20^2)/(9.81*A20)</f>
        <v>0.13726995380169638</v>
      </c>
      <c r="I20" s="3">
        <f t="shared" si="6"/>
        <v>3.0892155679694064</v>
      </c>
      <c r="J20" s="18">
        <f t="shared" si="7"/>
        <v>3.9155866245720854</v>
      </c>
      <c r="K20" s="165">
        <f t="shared" si="8"/>
        <v>0.75663729752107789</v>
      </c>
    </row>
    <row r="21" spans="1:12" ht="18.75" thickBot="1" x14ac:dyDescent="0.4">
      <c r="A21" s="249">
        <v>0.16500000000000001</v>
      </c>
      <c r="B21" s="3">
        <f t="shared" si="0"/>
        <v>0.29493750000000002</v>
      </c>
      <c r="C21" s="3">
        <f t="shared" si="1"/>
        <v>3.0469030818195568</v>
      </c>
      <c r="D21" s="3">
        <f t="shared" si="2"/>
        <v>9.6799107841614884E-2</v>
      </c>
      <c r="E21" s="3">
        <f t="shared" si="3"/>
        <v>21.175251675586818</v>
      </c>
      <c r="F21" s="147">
        <f t="shared" si="4"/>
        <v>0.46585339007633403</v>
      </c>
      <c r="G21" s="241">
        <f t="shared" si="5"/>
        <v>0.13739763423563878</v>
      </c>
      <c r="H21" s="149">
        <f t="shared" si="9"/>
        <v>0.14748174043194903</v>
      </c>
      <c r="I21" s="3">
        <f t="shared" si="6"/>
        <v>4.7460602574743778</v>
      </c>
      <c r="J21" s="18">
        <f t="shared" si="7"/>
        <v>6.3370562518549542</v>
      </c>
      <c r="K21" s="165">
        <f t="shared" si="8"/>
        <v>1.2484515409097785</v>
      </c>
      <c r="L21" s="1" t="s">
        <v>131</v>
      </c>
    </row>
    <row r="22" spans="1:12" ht="15.75" thickBot="1" x14ac:dyDescent="0.3">
      <c r="A22" s="247">
        <v>0.2</v>
      </c>
      <c r="B22" s="3">
        <f t="shared" si="0"/>
        <v>0.41</v>
      </c>
      <c r="C22" s="3">
        <f t="shared" si="1"/>
        <v>3.5765491900843118</v>
      </c>
      <c r="D22" s="3">
        <f t="shared" si="2"/>
        <v>0.11463563849106038</v>
      </c>
      <c r="E22" s="3">
        <f t="shared" si="3"/>
        <v>21.780606256976235</v>
      </c>
      <c r="F22" s="147">
        <f t="shared" si="4"/>
        <v>0.52145254730201951</v>
      </c>
      <c r="G22" s="241">
        <f t="shared" si="5"/>
        <v>0.21379554439382797</v>
      </c>
      <c r="H22" s="149">
        <f t="shared" si="9"/>
        <v>0.15244853975358888</v>
      </c>
      <c r="I22" s="3">
        <f t="shared" si="6"/>
        <v>5.6205853552166909</v>
      </c>
      <c r="J22" s="18">
        <f t="shared" si="7"/>
        <v>7.6314030065334428</v>
      </c>
      <c r="K22" s="165">
        <f t="shared" si="8"/>
        <v>1.5132745950421558</v>
      </c>
    </row>
    <row r="23" spans="1:12" ht="18.75" thickBot="1" x14ac:dyDescent="0.4">
      <c r="A23" s="249">
        <v>0.248</v>
      </c>
      <c r="B23" s="3">
        <f t="shared" si="0"/>
        <v>0.59767999999999999</v>
      </c>
      <c r="C23" s="3">
        <f t="shared" si="1"/>
        <v>4.3029209957045458</v>
      </c>
      <c r="D23" s="3">
        <f t="shared" si="2"/>
        <v>0.13890099320825153</v>
      </c>
      <c r="E23" s="3">
        <f t="shared" si="3"/>
        <v>22.488867216776455</v>
      </c>
      <c r="F23" s="147">
        <f t="shared" si="4"/>
        <v>0.59265951046025112</v>
      </c>
      <c r="G23" s="241">
        <f t="shared" si="5"/>
        <v>0.35422073621188288</v>
      </c>
      <c r="H23" s="149">
        <f t="shared" si="9"/>
        <v>0.15881170664927288</v>
      </c>
      <c r="I23" s="3">
        <f t="shared" si="6"/>
        <v>6.8103156970005729</v>
      </c>
      <c r="J23" s="18">
        <f t="shared" si="7"/>
        <v>9.4008473188238995</v>
      </c>
      <c r="K23" s="165">
        <f t="shared" si="8"/>
        <v>1.876460497852273</v>
      </c>
      <c r="L23" s="1" t="s">
        <v>130</v>
      </c>
    </row>
    <row r="24" spans="1:12" ht="18.75" thickBot="1" x14ac:dyDescent="0.4">
      <c r="A24" s="248">
        <v>0.27700000000000002</v>
      </c>
      <c r="B24" s="3">
        <f t="shared" si="0"/>
        <v>0.72781750000000012</v>
      </c>
      <c r="C24" s="3">
        <f t="shared" si="1"/>
        <v>4.7417706282667718</v>
      </c>
      <c r="D24" s="162">
        <f t="shared" si="2"/>
        <v>0.15349065930378722</v>
      </c>
      <c r="E24" s="3">
        <f t="shared" si="3"/>
        <v>22.866358789898648</v>
      </c>
      <c r="F24" s="147">
        <f t="shared" si="4"/>
        <v>0.63346553555858076</v>
      </c>
      <c r="G24" s="241">
        <f t="shared" si="5"/>
        <v>0.4610473024264074</v>
      </c>
      <c r="H24" s="168">
        <f t="shared" si="9"/>
        <v>0.16243884462350414</v>
      </c>
      <c r="I24" s="3">
        <f t="shared" si="6"/>
        <v>7.5256470256646875</v>
      </c>
      <c r="J24" s="18">
        <f t="shared" si="7"/>
        <v>10.467763126606975</v>
      </c>
      <c r="K24" s="165">
        <f t="shared" si="8"/>
        <v>2.095885314133386</v>
      </c>
      <c r="L24" s="1" t="s">
        <v>129</v>
      </c>
    </row>
    <row r="25" spans="1:12" ht="18.75" thickBot="1" x14ac:dyDescent="0.4">
      <c r="A25" s="249">
        <v>0.32500000000000001</v>
      </c>
      <c r="B25" s="3">
        <f t="shared" si="0"/>
        <v>0.97093750000000001</v>
      </c>
      <c r="C25" s="3">
        <f t="shared" si="1"/>
        <v>5.4681424338870057</v>
      </c>
      <c r="D25" s="3">
        <f>B25/C25</f>
        <v>0.17756258395592181</v>
      </c>
      <c r="E25" s="3">
        <f t="shared" si="3"/>
        <v>23.428362282405452</v>
      </c>
      <c r="F25" s="147">
        <f t="shared" si="4"/>
        <v>0.6980759265892551</v>
      </c>
      <c r="G25" s="241">
        <f>F25*B25</f>
        <v>0.67778809497275483</v>
      </c>
      <c r="H25" s="149">
        <f t="shared" si="9"/>
        <v>0.16813016520404353</v>
      </c>
      <c r="I25" s="3">
        <f t="shared" si="6"/>
        <v>8.7058934913588466</v>
      </c>
      <c r="J25" s="18">
        <f t="shared" si="7"/>
        <v>12.231313985683313</v>
      </c>
      <c r="K25" s="165">
        <f t="shared" si="8"/>
        <v>2.4590712169435029</v>
      </c>
      <c r="L25" s="1" t="s">
        <v>127</v>
      </c>
    </row>
    <row r="26" spans="1:12" ht="18.75" thickBot="1" x14ac:dyDescent="0.4">
      <c r="A26" s="249">
        <v>0.35799999999999998</v>
      </c>
      <c r="B26" s="3">
        <f t="shared" si="0"/>
        <v>1.1581300000000001</v>
      </c>
      <c r="C26" s="3">
        <f t="shared" si="1"/>
        <v>5.9675230502509171</v>
      </c>
      <c r="D26" s="3">
        <f t="shared" ref="D26:D30" si="10">B26/C26</f>
        <v>0.19407214521799024</v>
      </c>
      <c r="E26" s="3">
        <f t="shared" si="3"/>
        <v>23.778104028951063</v>
      </c>
      <c r="F26" s="147">
        <f t="shared" si="4"/>
        <v>0.74070253014856136</v>
      </c>
      <c r="G26" s="241">
        <f t="shared" ref="G26:G30" si="11">F26*B26</f>
        <v>0.85782982124095342</v>
      </c>
      <c r="H26" s="149">
        <f t="shared" si="9"/>
        <v>0.17184159989103825</v>
      </c>
      <c r="I26" s="3">
        <f t="shared" si="6"/>
        <v>9.5153572800380619</v>
      </c>
      <c r="J26" s="18">
        <f t="shared" si="7"/>
        <v>13.442485678549971</v>
      </c>
      <c r="K26" s="165">
        <f t="shared" si="8"/>
        <v>2.7087615251254586</v>
      </c>
      <c r="L26" s="1" t="s">
        <v>128</v>
      </c>
    </row>
    <row r="27" spans="1:12" ht="15.75" thickBot="1" x14ac:dyDescent="0.3">
      <c r="A27" s="247">
        <v>0.5</v>
      </c>
      <c r="B27" s="3">
        <f t="shared" si="0"/>
        <v>2.15</v>
      </c>
      <c r="C27" s="3">
        <f t="shared" si="1"/>
        <v>8.1163729752107781</v>
      </c>
      <c r="D27" s="3">
        <f t="shared" si="10"/>
        <v>0.26489664860974005</v>
      </c>
      <c r="E27" s="3">
        <f t="shared" si="3"/>
        <v>25.043561965412966</v>
      </c>
      <c r="F27" s="147">
        <f t="shared" si="4"/>
        <v>0.91142163402313658</v>
      </c>
      <c r="G27" s="241">
        <f t="shared" si="11"/>
        <v>1.9595565131497437</v>
      </c>
      <c r="H27" s="149">
        <f t="shared" si="9"/>
        <v>0.18629119968643112</v>
      </c>
      <c r="I27" s="3">
        <f t="shared" si="6"/>
        <v>12.987882681335554</v>
      </c>
      <c r="J27" s="18">
        <f t="shared" si="7"/>
        <v>18.647076980656664</v>
      </c>
      <c r="K27" s="165">
        <f t="shared" si="8"/>
        <v>3.7831864876053891</v>
      </c>
    </row>
    <row r="28" spans="1:12" ht="15.75" thickBot="1" x14ac:dyDescent="0.3">
      <c r="A28" s="247">
        <v>0.6</v>
      </c>
      <c r="B28" s="3">
        <f t="shared" si="0"/>
        <v>3.03</v>
      </c>
      <c r="C28" s="3">
        <f t="shared" si="1"/>
        <v>9.6296475702529349</v>
      </c>
      <c r="D28" s="3">
        <f t="shared" si="10"/>
        <v>0.31465325993445603</v>
      </c>
      <c r="E28" s="3">
        <f t="shared" si="3"/>
        <v>25.772431516592725</v>
      </c>
      <c r="F28" s="147">
        <f t="shared" si="4"/>
        <v>1.0222485759493274</v>
      </c>
      <c r="G28" s="241">
        <f t="shared" si="11"/>
        <v>3.0974131851264617</v>
      </c>
      <c r="H28" s="149">
        <f t="shared" si="9"/>
        <v>0.19529245092311767</v>
      </c>
      <c r="I28" s="3">
        <f t="shared" si="6"/>
        <v>15.427449334586379</v>
      </c>
      <c r="J28" s="18">
        <f t="shared" si="7"/>
        <v>22.308231344667117</v>
      </c>
      <c r="K28" s="165">
        <f t="shared" si="8"/>
        <v>4.5398237851264671</v>
      </c>
    </row>
    <row r="29" spans="1:12" ht="15.75" thickBot="1" x14ac:dyDescent="0.3">
      <c r="A29" s="247">
        <v>0.7</v>
      </c>
      <c r="B29" s="3">
        <f t="shared" si="0"/>
        <v>4.0599999999999996</v>
      </c>
      <c r="C29" s="3">
        <f t="shared" si="1"/>
        <v>11.14292216529509</v>
      </c>
      <c r="D29" s="3">
        <f t="shared" si="10"/>
        <v>0.36435684821033493</v>
      </c>
      <c r="E29" s="3">
        <f t="shared" si="3"/>
        <v>26.410168847987187</v>
      </c>
      <c r="F29" s="147">
        <f t="shared" si="4"/>
        <v>1.1272484538149079</v>
      </c>
      <c r="G29" s="241">
        <f t="shared" si="11"/>
        <v>4.5766287224885254</v>
      </c>
      <c r="H29" s="149">
        <f t="shared" si="9"/>
        <v>0.20354710707600271</v>
      </c>
      <c r="I29" s="3">
        <f t="shared" si="6"/>
        <v>17.864416267752723</v>
      </c>
      <c r="J29" s="18">
        <f t="shared" si="7"/>
        <v>25.967540966712185</v>
      </c>
      <c r="K29" s="165">
        <f t="shared" si="8"/>
        <v>5.2964610826475447</v>
      </c>
    </row>
    <row r="30" spans="1:12" ht="15.75" thickBot="1" x14ac:dyDescent="0.3">
      <c r="A30" s="250">
        <v>0.8</v>
      </c>
      <c r="B30" s="7">
        <f t="shared" si="0"/>
        <v>5.24</v>
      </c>
      <c r="C30" s="7">
        <f t="shared" si="1"/>
        <v>12.656196760337247</v>
      </c>
      <c r="D30" s="7">
        <f t="shared" si="10"/>
        <v>0.41402643299774133</v>
      </c>
      <c r="E30" s="7">
        <f t="shared" si="3"/>
        <v>26.978721596669267</v>
      </c>
      <c r="F30" s="148">
        <f t="shared" si="4"/>
        <v>1.2274968976682139</v>
      </c>
      <c r="G30" s="242">
        <f t="shared" si="11"/>
        <v>6.4320837437814413</v>
      </c>
      <c r="H30" s="150">
        <f t="shared" si="9"/>
        <v>0.2111905577425584</v>
      </c>
      <c r="I30" s="7">
        <f t="shared" si="6"/>
        <v>20.299716009879258</v>
      </c>
      <c r="J30" s="19">
        <f t="shared" si="7"/>
        <v>29.625648047747617</v>
      </c>
      <c r="K30" s="165">
        <f t="shared" si="8"/>
        <v>6.0530983801686231</v>
      </c>
    </row>
    <row r="49" spans="1:15" ht="15.75" thickBot="1" x14ac:dyDescent="0.3">
      <c r="A49" s="157" t="s">
        <v>132</v>
      </c>
    </row>
    <row r="50" spans="1:15" x14ac:dyDescent="0.25">
      <c r="A50" s="11" t="s">
        <v>13</v>
      </c>
      <c r="B50" s="12">
        <v>7.5</v>
      </c>
      <c r="C50" s="13"/>
    </row>
    <row r="51" spans="1:15" x14ac:dyDescent="0.25">
      <c r="A51" s="5" t="s">
        <v>14</v>
      </c>
      <c r="B51" s="2">
        <v>0.55000000000000004</v>
      </c>
      <c r="C51" s="6" t="s">
        <v>2</v>
      </c>
    </row>
    <row r="52" spans="1:15" x14ac:dyDescent="0.25">
      <c r="A52" s="5" t="s">
        <v>15</v>
      </c>
      <c r="B52" s="2">
        <v>3.2000000000000001E-2</v>
      </c>
      <c r="C52" s="6"/>
      <c r="D52" t="s">
        <v>126</v>
      </c>
    </row>
    <row r="53" spans="1:15" ht="15.75" thickBot="1" x14ac:dyDescent="0.3">
      <c r="A53" s="177" t="s">
        <v>16</v>
      </c>
      <c r="B53" s="178">
        <v>7</v>
      </c>
      <c r="C53" s="179" t="s">
        <v>17</v>
      </c>
    </row>
    <row r="54" spans="1:15" ht="18" x14ac:dyDescent="0.35">
      <c r="A54" s="14" t="s">
        <v>0</v>
      </c>
      <c r="B54" s="4" t="s">
        <v>3</v>
      </c>
      <c r="C54" s="4" t="s">
        <v>4</v>
      </c>
      <c r="D54" s="4" t="s">
        <v>5</v>
      </c>
      <c r="E54" s="4" t="s">
        <v>6</v>
      </c>
      <c r="F54" s="145" t="s">
        <v>7</v>
      </c>
      <c r="G54" s="239" t="s">
        <v>8</v>
      </c>
      <c r="H54" s="216" t="s">
        <v>9</v>
      </c>
      <c r="I54" s="211" t="s">
        <v>10</v>
      </c>
      <c r="J54" s="21" t="s">
        <v>61</v>
      </c>
      <c r="K54" s="157" t="s">
        <v>124</v>
      </c>
    </row>
    <row r="55" spans="1:15" ht="18" thickBot="1" x14ac:dyDescent="0.3">
      <c r="A55" s="141" t="s">
        <v>1</v>
      </c>
      <c r="B55" s="142" t="s">
        <v>18</v>
      </c>
      <c r="C55" s="142" t="s">
        <v>1</v>
      </c>
      <c r="D55" s="142" t="s">
        <v>1</v>
      </c>
      <c r="E55" s="142" t="s">
        <v>123</v>
      </c>
      <c r="F55" s="146" t="s">
        <v>11</v>
      </c>
      <c r="G55" s="240" t="s">
        <v>19</v>
      </c>
      <c r="H55" s="217"/>
      <c r="I55" s="212" t="s">
        <v>12</v>
      </c>
      <c r="J55" s="143" t="s">
        <v>12</v>
      </c>
    </row>
    <row r="56" spans="1:15" x14ac:dyDescent="0.25">
      <c r="A56" s="244">
        <v>0</v>
      </c>
      <c r="B56" s="144">
        <f t="shared" ref="B56:B66" si="12">($B$51+$B$50*A56)*A56</f>
        <v>0</v>
      </c>
      <c r="C56" s="144">
        <f t="shared" ref="C56:C66" si="13">$B$51+2*A56*SQRT(1+$B$50^2)</f>
        <v>0.55000000000000004</v>
      </c>
      <c r="D56" s="144">
        <f>B56/C56</f>
        <v>0</v>
      </c>
      <c r="E56" s="144">
        <f t="shared" ref="E56:E66" si="14">(1/$B$52)*D56^(1/6)</f>
        <v>0</v>
      </c>
      <c r="F56" s="243">
        <f t="shared" ref="F56:F66" si="15">E56*SQRT(D56*$B$53/100)</f>
        <v>0</v>
      </c>
      <c r="G56" s="245">
        <f>F56*B56</f>
        <v>0</v>
      </c>
      <c r="H56" s="246" t="s">
        <v>22</v>
      </c>
      <c r="I56" s="144">
        <f t="shared" ref="I56:I66" si="16">98.06*D56*$B$53</f>
        <v>0</v>
      </c>
      <c r="J56" s="164">
        <f t="shared" ref="J56:J66" si="17">(I56*($B$51+2*K56))/(1.13*$B$51+1.33*K56)</f>
        <v>0</v>
      </c>
      <c r="K56" s="165">
        <f t="shared" ref="K56:K66" si="18">A56*SQRT(1+$B$50^2)</f>
        <v>0</v>
      </c>
    </row>
    <row r="57" spans="1:15" x14ac:dyDescent="0.25">
      <c r="A57" s="247">
        <v>0.05</v>
      </c>
      <c r="B57" s="3">
        <f t="shared" si="12"/>
        <v>4.6250000000000006E-2</v>
      </c>
      <c r="C57" s="3">
        <f t="shared" si="13"/>
        <v>1.3066372975210778</v>
      </c>
      <c r="D57" s="3">
        <f t="shared" ref="D57:D62" si="19">B57/C57</f>
        <v>3.5396203742036482E-2</v>
      </c>
      <c r="E57" s="3">
        <f t="shared" si="14"/>
        <v>17.906448969643193</v>
      </c>
      <c r="F57" s="147">
        <f t="shared" si="15"/>
        <v>0.89132652834908088</v>
      </c>
      <c r="G57" s="241">
        <f t="shared" ref="G57:G62" si="20">F57*B57</f>
        <v>4.1223851936144994E-2</v>
      </c>
      <c r="H57" s="149">
        <f>(1.1*F57^2)/(9.81*A57)</f>
        <v>1.7816702918505758</v>
      </c>
      <c r="I57" s="3">
        <f t="shared" si="16"/>
        <v>24.296662172608681</v>
      </c>
      <c r="J57" s="18">
        <f t="shared" si="17"/>
        <v>28.227924575777759</v>
      </c>
      <c r="K57" s="166">
        <f t="shared" si="18"/>
        <v>0.37831864876053894</v>
      </c>
    </row>
    <row r="58" spans="1:15" ht="18" x14ac:dyDescent="0.35">
      <c r="A58" s="249">
        <v>0.09</v>
      </c>
      <c r="B58" s="3">
        <f t="shared" si="12"/>
        <v>0.11025</v>
      </c>
      <c r="C58" s="3">
        <f t="shared" si="13"/>
        <v>1.91194713553794</v>
      </c>
      <c r="D58" s="3">
        <f t="shared" si="19"/>
        <v>5.766372822278916E-2</v>
      </c>
      <c r="E58" s="3">
        <f t="shared" si="14"/>
        <v>19.423782574487056</v>
      </c>
      <c r="F58" s="147">
        <f t="shared" si="15"/>
        <v>1.2340540653768834</v>
      </c>
      <c r="G58" s="241">
        <f t="shared" si="20"/>
        <v>0.13605446070780139</v>
      </c>
      <c r="H58" s="149">
        <f t="shared" ref="H58:H66" si="21">(1.1*F58^2)/(9.81*A58)</f>
        <v>1.8973591345571805</v>
      </c>
      <c r="I58" s="3">
        <f t="shared" si="16"/>
        <v>39.581536326686937</v>
      </c>
      <c r="J58" s="18">
        <f t="shared" si="17"/>
        <v>49.553470692485718</v>
      </c>
      <c r="K58" s="166">
        <f t="shared" si="18"/>
        <v>0.68097356776897</v>
      </c>
      <c r="L58" s="1" t="s">
        <v>131</v>
      </c>
    </row>
    <row r="59" spans="1:15" ht="18" x14ac:dyDescent="0.35">
      <c r="A59" s="249">
        <v>0.13900000000000001</v>
      </c>
      <c r="B59" s="3">
        <f t="shared" si="12"/>
        <v>0.22135750000000001</v>
      </c>
      <c r="C59" s="3">
        <f t="shared" si="13"/>
        <v>2.6534516871085962</v>
      </c>
      <c r="D59" s="3">
        <f t="shared" si="19"/>
        <v>8.3422472350046087E-2</v>
      </c>
      <c r="E59" s="3">
        <f t="shared" si="14"/>
        <v>20.656838992129916</v>
      </c>
      <c r="F59" s="147">
        <f t="shared" si="15"/>
        <v>1.5785357163609748</v>
      </c>
      <c r="G59" s="241">
        <f t="shared" si="20"/>
        <v>0.3494207198343745</v>
      </c>
      <c r="H59" s="149">
        <f t="shared" si="21"/>
        <v>2.0101001830535434</v>
      </c>
      <c r="I59" s="3">
        <f t="shared" si="16"/>
        <v>57.262853470518635</v>
      </c>
      <c r="J59" s="18">
        <f t="shared" si="17"/>
        <v>75.208911162854449</v>
      </c>
      <c r="K59" s="166">
        <f t="shared" si="18"/>
        <v>1.0517258435542982</v>
      </c>
      <c r="L59" s="1" t="s">
        <v>130</v>
      </c>
    </row>
    <row r="60" spans="1:15" ht="18" x14ac:dyDescent="0.35">
      <c r="A60" s="249">
        <v>0.157</v>
      </c>
      <c r="B60" s="3">
        <f t="shared" si="12"/>
        <v>0.2712175</v>
      </c>
      <c r="C60" s="3">
        <f t="shared" si="13"/>
        <v>2.9258411142161842</v>
      </c>
      <c r="D60" s="3">
        <f t="shared" si="19"/>
        <v>9.2697275556829953E-2</v>
      </c>
      <c r="E60" s="3">
        <f t="shared" si="14"/>
        <v>21.022991595918509</v>
      </c>
      <c r="F60" s="147">
        <f t="shared" si="15"/>
        <v>1.6934681059648942</v>
      </c>
      <c r="G60" s="241">
        <f t="shared" si="20"/>
        <v>0.45929818602953371</v>
      </c>
      <c r="H60" s="149">
        <f t="shared" si="21"/>
        <v>2.0482269155433226</v>
      </c>
      <c r="I60" s="3">
        <f t="shared" si="16"/>
        <v>63.629263887719219</v>
      </c>
      <c r="J60" s="18">
        <f t="shared" si="17"/>
        <v>84.567190075422815</v>
      </c>
      <c r="K60" s="166">
        <f t="shared" si="18"/>
        <v>1.1879205571080922</v>
      </c>
      <c r="L60" s="1" t="s">
        <v>129</v>
      </c>
    </row>
    <row r="61" spans="1:15" ht="18" x14ac:dyDescent="0.35">
      <c r="A61" s="249">
        <v>0.186</v>
      </c>
      <c r="B61" s="3">
        <f t="shared" si="12"/>
        <v>0.36177000000000004</v>
      </c>
      <c r="C61" s="3">
        <f t="shared" si="13"/>
        <v>3.3646907467784093</v>
      </c>
      <c r="D61" s="3">
        <f t="shared" si="19"/>
        <v>0.10751953960297361</v>
      </c>
      <c r="E61" s="3">
        <f t="shared" si="14"/>
        <v>21.549205084055007</v>
      </c>
      <c r="F61" s="147">
        <f t="shared" si="15"/>
        <v>1.8694935555188519</v>
      </c>
      <c r="G61" s="241">
        <f t="shared" si="20"/>
        <v>0.6763266835800551</v>
      </c>
      <c r="H61" s="149">
        <f t="shared" si="21"/>
        <v>2.1069715834945528</v>
      </c>
      <c r="I61" s="3">
        <f t="shared" si="16"/>
        <v>73.803562374273142</v>
      </c>
      <c r="J61" s="18">
        <f t="shared" si="17"/>
        <v>99.598610851199908</v>
      </c>
      <c r="K61" s="166">
        <f t="shared" si="18"/>
        <v>1.4073453733892047</v>
      </c>
      <c r="L61" s="1" t="s">
        <v>127</v>
      </c>
    </row>
    <row r="62" spans="1:15" ht="18" x14ac:dyDescent="0.35">
      <c r="A62" s="248">
        <v>0.20599999999999999</v>
      </c>
      <c r="B62" s="3">
        <f t="shared" si="12"/>
        <v>0.4315699999999999</v>
      </c>
      <c r="C62" s="3">
        <f t="shared" si="13"/>
        <v>3.6673456657868408</v>
      </c>
      <c r="D62" s="162">
        <f t="shared" si="19"/>
        <v>0.1176791170862824</v>
      </c>
      <c r="E62" s="3">
        <f t="shared" si="14"/>
        <v>21.875933201022654</v>
      </c>
      <c r="F62" s="147">
        <f t="shared" si="15"/>
        <v>1.9854790515068079</v>
      </c>
      <c r="G62" s="241">
        <f t="shared" si="20"/>
        <v>0.85687319425879294</v>
      </c>
      <c r="H62" s="168">
        <f t="shared" si="21"/>
        <v>2.1457893027570498</v>
      </c>
      <c r="I62" s="3">
        <f t="shared" si="16"/>
        <v>80.777299550365967</v>
      </c>
      <c r="J62" s="18">
        <f t="shared" si="17"/>
        <v>109.9404141864226</v>
      </c>
      <c r="K62" s="166">
        <f t="shared" si="18"/>
        <v>1.5586728328934203</v>
      </c>
      <c r="L62" s="1" t="s">
        <v>128</v>
      </c>
      <c r="O62" s="1"/>
    </row>
    <row r="63" spans="1:15" x14ac:dyDescent="0.25">
      <c r="A63" s="247">
        <v>0.25</v>
      </c>
      <c r="B63" s="3">
        <f t="shared" si="12"/>
        <v>0.60624999999999996</v>
      </c>
      <c r="C63" s="3">
        <f t="shared" si="13"/>
        <v>4.3331864876053894</v>
      </c>
      <c r="D63" s="3">
        <f>B63/C63</f>
        <v>0.1399085873026957</v>
      </c>
      <c r="E63" s="3">
        <f t="shared" si="14"/>
        <v>22.515974609508365</v>
      </c>
      <c r="F63" s="147">
        <f t="shared" si="15"/>
        <v>2.2282399477288473</v>
      </c>
      <c r="G63" s="241">
        <f>F63*B63</f>
        <v>1.3508704683106136</v>
      </c>
      <c r="H63" s="149">
        <f t="shared" si="21"/>
        <v>2.2269352053496929</v>
      </c>
      <c r="I63" s="3">
        <f t="shared" si="16"/>
        <v>96.036052496316387</v>
      </c>
      <c r="J63" s="18">
        <f t="shared" si="17"/>
        <v>132.64259168699041</v>
      </c>
      <c r="K63" s="166">
        <f t="shared" si="18"/>
        <v>1.8915932438026946</v>
      </c>
    </row>
    <row r="64" spans="1:15" x14ac:dyDescent="0.25">
      <c r="A64" s="247">
        <v>0.3</v>
      </c>
      <c r="B64" s="3">
        <f t="shared" si="12"/>
        <v>0.84</v>
      </c>
      <c r="C64" s="3">
        <f t="shared" si="13"/>
        <v>5.0898237851264669</v>
      </c>
      <c r="D64" s="3">
        <f t="shared" ref="D64:D66" si="22">B64/C64</f>
        <v>0.16503518303613107</v>
      </c>
      <c r="E64" s="3">
        <f t="shared" si="14"/>
        <v>23.144409859805158</v>
      </c>
      <c r="F64" s="147">
        <f t="shared" si="15"/>
        <v>2.4876163417824815</v>
      </c>
      <c r="G64" s="241">
        <f t="shared" ref="G64:G66" si="23">F64*B64</f>
        <v>2.0895977270972845</v>
      </c>
      <c r="H64" s="149">
        <f t="shared" si="21"/>
        <v>2.3129658750572824</v>
      </c>
      <c r="I64" s="3">
        <f t="shared" si="16"/>
        <v>113.2834503396611</v>
      </c>
      <c r="J64" s="18">
        <f t="shared" si="17"/>
        <v>158.38360705623961</v>
      </c>
      <c r="K64" s="166">
        <f t="shared" si="18"/>
        <v>2.2699118925632336</v>
      </c>
    </row>
    <row r="65" spans="1:15" x14ac:dyDescent="0.25">
      <c r="A65" s="247">
        <v>0.35</v>
      </c>
      <c r="B65" s="3">
        <f t="shared" si="12"/>
        <v>1.1112499999999998</v>
      </c>
      <c r="C65" s="3">
        <f t="shared" si="13"/>
        <v>5.8464610826475445</v>
      </c>
      <c r="D65" s="3">
        <f t="shared" si="22"/>
        <v>0.19007224785917418</v>
      </c>
      <c r="E65" s="3">
        <f t="shared" si="14"/>
        <v>23.695714404627068</v>
      </c>
      <c r="F65" s="147">
        <f t="shared" si="15"/>
        <v>2.7332426081479406</v>
      </c>
      <c r="G65" s="241">
        <f t="shared" si="23"/>
        <v>3.0373158483043987</v>
      </c>
      <c r="H65" s="149">
        <f t="shared" si="21"/>
        <v>2.3933818757812415</v>
      </c>
      <c r="I65" s="3">
        <f t="shared" si="16"/>
        <v>130.46939237549435</v>
      </c>
      <c r="J65" s="18">
        <f t="shared" si="17"/>
        <v>184.08525025409858</v>
      </c>
      <c r="K65" s="166">
        <f t="shared" si="18"/>
        <v>2.6482305413237723</v>
      </c>
      <c r="O65" s="1"/>
    </row>
    <row r="66" spans="1:15" ht="15.75" thickBot="1" x14ac:dyDescent="0.3">
      <c r="A66" s="250">
        <v>0.4</v>
      </c>
      <c r="B66" s="7">
        <f t="shared" si="12"/>
        <v>1.42</v>
      </c>
      <c r="C66" s="7">
        <f t="shared" si="13"/>
        <v>6.6030983801686229</v>
      </c>
      <c r="D66" s="7">
        <f t="shared" si="22"/>
        <v>0.21505055933510678</v>
      </c>
      <c r="E66" s="7">
        <f t="shared" si="14"/>
        <v>24.188380092519559</v>
      </c>
      <c r="F66" s="148">
        <f t="shared" si="15"/>
        <v>2.9677416563700905</v>
      </c>
      <c r="G66" s="242">
        <f t="shared" si="23"/>
        <v>4.214193152045528</v>
      </c>
      <c r="H66" s="150">
        <f t="shared" si="21"/>
        <v>2.4689703345692453</v>
      </c>
      <c r="I66" s="7">
        <f t="shared" si="16"/>
        <v>147.61500493880399</v>
      </c>
      <c r="J66" s="19">
        <f t="shared" si="17"/>
        <v>209.7603111189816</v>
      </c>
      <c r="K66" s="167">
        <f t="shared" si="18"/>
        <v>3.0265491900843116</v>
      </c>
    </row>
    <row r="83" spans="1:1" x14ac:dyDescent="0.25">
      <c r="A83" s="182" t="s">
        <v>134</v>
      </c>
    </row>
    <row r="84" spans="1:1" ht="18" x14ac:dyDescent="0.35">
      <c r="A84" t="s">
        <v>157</v>
      </c>
    </row>
  </sheetData>
  <pageMargins left="0.7" right="0.7" top="0.78740157499999996" bottom="0.78740157499999996" header="0.3" footer="0.3"/>
  <pageSetup paperSize="9" orientation="portrait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Zbyhněvice</vt:lpstr>
      <vt:lpstr>Průleh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miksanek</dc:creator>
  <cp:lastModifiedBy>Michaela Janovská</cp:lastModifiedBy>
  <cp:lastPrinted>2022-04-07T10:38:19Z</cp:lastPrinted>
  <dcterms:created xsi:type="dcterms:W3CDTF">2018-03-02T13:14:05Z</dcterms:created>
  <dcterms:modified xsi:type="dcterms:W3CDTF">2022-04-07T10:44:23Z</dcterms:modified>
</cp:coreProperties>
</file>