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vinčany, Nákle - větrolam a průleh\DSJ Výsadba větrolamu a výstavba mělkého průlehu na KN 1613 v k.ú. Svinčany\F. Výkaz výměr a kubatur\"/>
    </mc:Choice>
  </mc:AlternateContent>
  <bookViews>
    <workbookView xWindow="0" yWindow="0" windowWidth="28770" windowHeight="12195"/>
  </bookViews>
  <sheets>
    <sheet name="Hmotová tabulka" sheetId="2" r:id="rId1"/>
    <sheet name="SO 01" sheetId="5" r:id="rId2"/>
    <sheet name="SO 02" sheetId="6" r:id="rId3"/>
    <sheet name="SO 03" sheetId="7" r:id="rId4"/>
    <sheet name="VON" sheetId="4" r:id="rId5"/>
  </sheets>
  <definedNames>
    <definedName name="_xlnm.Print_Area" localSheetId="0">'Hmotová tabulka'!$A$1:$W$115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2" i="6" l="1"/>
  <c r="M81" i="6"/>
  <c r="M80" i="6"/>
  <c r="M78" i="6"/>
  <c r="M77" i="6"/>
  <c r="M73" i="6"/>
  <c r="M74" i="6"/>
  <c r="M47" i="6" l="1"/>
  <c r="M48" i="6" s="1"/>
  <c r="M40" i="7" l="1"/>
  <c r="M37" i="7"/>
  <c r="M26" i="7"/>
  <c r="M27" i="7"/>
  <c r="M19" i="7"/>
  <c r="M20" i="7" s="1"/>
  <c r="M17" i="7"/>
  <c r="M16" i="7"/>
  <c r="M15" i="7"/>
  <c r="M14" i="7"/>
  <c r="M13" i="7"/>
  <c r="M12" i="7"/>
  <c r="M68" i="6"/>
  <c r="M67" i="6"/>
  <c r="M66" i="6"/>
  <c r="M65" i="6"/>
  <c r="M59" i="6"/>
  <c r="M58" i="6"/>
  <c r="M57" i="6"/>
  <c r="M56" i="6"/>
  <c r="M55" i="6"/>
  <c r="M50" i="6"/>
  <c r="M53" i="6"/>
  <c r="M46" i="6"/>
  <c r="M44" i="6"/>
  <c r="M11" i="6"/>
  <c r="M12" i="6" s="1"/>
  <c r="Q22" i="2"/>
  <c r="M14" i="6"/>
  <c r="M43" i="6"/>
  <c r="M37" i="6"/>
  <c r="M36" i="6"/>
  <c r="M42" i="6"/>
  <c r="M38" i="6"/>
  <c r="M32" i="6"/>
  <c r="M33" i="6" s="1"/>
  <c r="M34" i="6" s="1"/>
  <c r="M26" i="6"/>
  <c r="M29" i="6" s="1"/>
  <c r="M30" i="6" s="1"/>
  <c r="M18" i="6"/>
  <c r="M20" i="6" s="1"/>
  <c r="M17" i="6"/>
  <c r="M30" i="7" l="1"/>
  <c r="M39" i="7"/>
  <c r="M22" i="7"/>
  <c r="M36" i="7" s="1"/>
  <c r="M24" i="7"/>
  <c r="M38" i="7" s="1"/>
  <c r="M21" i="7"/>
  <c r="M27" i="6"/>
  <c r="M28" i="6" s="1"/>
  <c r="M61" i="5"/>
  <c r="M38" i="5"/>
  <c r="M57" i="5"/>
  <c r="M56" i="5"/>
  <c r="M53" i="5"/>
  <c r="M54" i="5"/>
  <c r="M50" i="5"/>
  <c r="M49" i="5"/>
  <c r="M47" i="5"/>
  <c r="M45" i="5"/>
  <c r="M46" i="5"/>
  <c r="M41" i="5"/>
  <c r="M43" i="5"/>
  <c r="M39" i="5"/>
  <c r="M40" i="5"/>
  <c r="M35" i="5"/>
  <c r="M34" i="5"/>
  <c r="M36" i="5" s="1"/>
  <c r="M31" i="5"/>
  <c r="M32" i="5" s="1"/>
  <c r="M7" i="5"/>
  <c r="M6" i="5"/>
  <c r="M18" i="5"/>
  <c r="J63" i="6"/>
  <c r="G62" i="6"/>
  <c r="S22" i="2" l="1"/>
  <c r="O22" i="2"/>
  <c r="E22" i="2"/>
  <c r="S8" i="2" l="1"/>
  <c r="Q8" i="2"/>
  <c r="O8" i="2"/>
  <c r="M22" i="2"/>
  <c r="I22" i="2"/>
  <c r="G22" i="2"/>
  <c r="C36" i="2"/>
  <c r="S36" i="2" s="1"/>
  <c r="U36" i="2" l="1"/>
  <c r="G36" i="2"/>
  <c r="W36" i="2"/>
  <c r="M36" i="2"/>
  <c r="O36" i="2"/>
  <c r="I36" i="2"/>
  <c r="K36" i="2"/>
  <c r="Q36" i="2"/>
  <c r="E36" i="2"/>
  <c r="C8" i="2" l="1"/>
  <c r="E8" i="2" s="1"/>
  <c r="C24" i="2"/>
  <c r="C22" i="2"/>
  <c r="C20" i="2"/>
  <c r="G20" i="2" s="1"/>
  <c r="C18" i="2"/>
  <c r="C16" i="2"/>
  <c r="C14" i="2"/>
  <c r="C12" i="2"/>
  <c r="C10" i="2"/>
  <c r="W22" i="2" l="1"/>
  <c r="U22" i="2"/>
  <c r="K22" i="2"/>
  <c r="O20" i="2"/>
  <c r="E20" i="2"/>
  <c r="W20" i="2"/>
  <c r="I20" i="2"/>
  <c r="S20" i="2"/>
  <c r="U20" i="2"/>
  <c r="M20" i="2"/>
  <c r="Q20" i="2"/>
  <c r="K20" i="2"/>
  <c r="Q16" i="2"/>
  <c r="S16" i="2"/>
  <c r="K16" i="2"/>
  <c r="G16" i="2"/>
  <c r="O16" i="2"/>
  <c r="W16" i="2"/>
  <c r="I16" i="2"/>
  <c r="M16" i="2"/>
  <c r="E16" i="2"/>
  <c r="U16" i="2"/>
  <c r="W8" i="2"/>
  <c r="I8" i="2"/>
  <c r="M8" i="2"/>
  <c r="U8" i="2"/>
  <c r="G8" i="2"/>
  <c r="K18" i="2"/>
  <c r="G18" i="2"/>
  <c r="I18" i="2"/>
  <c r="M18" i="2"/>
  <c r="O18" i="2"/>
  <c r="W18" i="2"/>
  <c r="S18" i="2"/>
  <c r="U18" i="2"/>
  <c r="Q18" i="2"/>
  <c r="E18" i="2"/>
  <c r="W24" i="2"/>
  <c r="I24" i="2"/>
  <c r="S24" i="2"/>
  <c r="M24" i="2"/>
  <c r="U24" i="2"/>
  <c r="Q24" i="2"/>
  <c r="G24" i="2"/>
  <c r="O24" i="2"/>
  <c r="E24" i="2"/>
  <c r="K24" i="2"/>
  <c r="S10" i="2"/>
  <c r="M10" i="2"/>
  <c r="U10" i="2"/>
  <c r="Q10" i="2"/>
  <c r="K10" i="2"/>
  <c r="O10" i="2"/>
  <c r="E10" i="2"/>
  <c r="W10" i="2"/>
  <c r="I10" i="2"/>
  <c r="G10" i="2"/>
  <c r="M12" i="2"/>
  <c r="G12" i="2"/>
  <c r="U12" i="2"/>
  <c r="Q12" i="2"/>
  <c r="K12" i="2"/>
  <c r="O12" i="2"/>
  <c r="W12" i="2"/>
  <c r="I12" i="2"/>
  <c r="S12" i="2"/>
  <c r="E12" i="2"/>
  <c r="U14" i="2"/>
  <c r="Q14" i="2"/>
  <c r="G14" i="2"/>
  <c r="K14" i="2"/>
  <c r="E14" i="2"/>
  <c r="I14" i="2"/>
  <c r="O14" i="2"/>
  <c r="S14" i="2"/>
  <c r="M14" i="2"/>
  <c r="W14" i="2"/>
  <c r="C34" i="2"/>
  <c r="C32" i="2"/>
  <c r="C30" i="2"/>
  <c r="C28" i="2"/>
  <c r="C26" i="2"/>
  <c r="S26" i="2" l="1"/>
  <c r="M26" i="2"/>
  <c r="U26" i="2"/>
  <c r="Q26" i="2"/>
  <c r="G26" i="2"/>
  <c r="K26" i="2"/>
  <c r="O26" i="2"/>
  <c r="W26" i="2"/>
  <c r="I26" i="2"/>
  <c r="E30" i="2"/>
  <c r="U30" i="2"/>
  <c r="G30" i="2"/>
  <c r="Q30" i="2"/>
  <c r="W30" i="2"/>
  <c r="K30" i="2"/>
  <c r="O30" i="2"/>
  <c r="I30" i="2"/>
  <c r="S30" i="2"/>
  <c r="M30" i="2"/>
  <c r="E32" i="2"/>
  <c r="Q32" i="2"/>
  <c r="K32" i="2"/>
  <c r="G32" i="2"/>
  <c r="S32" i="2"/>
  <c r="O32" i="2"/>
  <c r="W32" i="2"/>
  <c r="I32" i="2"/>
  <c r="M32" i="2"/>
  <c r="U32" i="2"/>
  <c r="M28" i="2"/>
  <c r="U28" i="2"/>
  <c r="G28" i="2"/>
  <c r="Q28" i="2"/>
  <c r="O28" i="2"/>
  <c r="K28" i="2"/>
  <c r="W28" i="2"/>
  <c r="I28" i="2"/>
  <c r="S28" i="2"/>
  <c r="E34" i="2"/>
  <c r="K34" i="2"/>
  <c r="G34" i="2"/>
  <c r="O34" i="2"/>
  <c r="W34" i="2"/>
  <c r="I34" i="2"/>
  <c r="S34" i="2"/>
  <c r="M34" i="2"/>
  <c r="U34" i="2"/>
  <c r="Q34" i="2"/>
  <c r="E28" i="2"/>
  <c r="E26" i="2"/>
  <c r="C6" i="2" l="1"/>
  <c r="O6" i="2" s="1"/>
  <c r="W6" i="2" l="1"/>
  <c r="I6" i="2"/>
  <c r="S6" i="2"/>
  <c r="S38" i="2" s="1"/>
  <c r="M6" i="2"/>
  <c r="U6" i="2"/>
  <c r="K6" i="2"/>
  <c r="G6" i="2"/>
  <c r="Q6" i="2"/>
  <c r="E6" i="2"/>
  <c r="E38" i="2" l="1"/>
  <c r="E41" i="2" s="1"/>
  <c r="M4" i="6" s="1"/>
  <c r="G38" i="2"/>
  <c r="G41" i="2" s="1"/>
  <c r="M3" i="5" s="1"/>
  <c r="M38" i="2"/>
  <c r="M41" i="2" s="1"/>
  <c r="M12" i="5" s="1"/>
  <c r="O38" i="2"/>
  <c r="U38" i="2"/>
  <c r="U41" i="2" s="1"/>
  <c r="W38" i="2"/>
  <c r="I38" i="2"/>
  <c r="I41" i="2" s="1"/>
  <c r="M8" i="5" s="1"/>
  <c r="Q38" i="2"/>
  <c r="K38" i="2"/>
  <c r="K41" i="2" s="1"/>
  <c r="G44" i="2" l="1"/>
  <c r="M14" i="5" s="1"/>
  <c r="M16" i="5" s="1"/>
  <c r="G43" i="2"/>
</calcChain>
</file>

<file path=xl/sharedStrings.xml><?xml version="1.0" encoding="utf-8"?>
<sst xmlns="http://schemas.openxmlformats.org/spreadsheetml/2006/main" count="479" uniqueCount="188">
  <si>
    <t>PF</t>
  </si>
  <si>
    <t>STAN.</t>
  </si>
  <si>
    <t>VZD</t>
  </si>
  <si>
    <t>plocha</t>
  </si>
  <si>
    <t>kubatura</t>
  </si>
  <si>
    <t>[m]</t>
  </si>
  <si>
    <r>
      <t>[m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]</t>
    </r>
  </si>
  <si>
    <r>
      <t>[m</t>
    </r>
    <r>
      <rPr>
        <b/>
        <vertAlign val="superscript"/>
        <sz val="10"/>
        <rFont val="Arial CE"/>
        <charset val="238"/>
      </rPr>
      <t>3</t>
    </r>
    <r>
      <rPr>
        <b/>
        <sz val="10"/>
        <rFont val="Arial CE"/>
        <family val="2"/>
        <charset val="238"/>
      </rPr>
      <t>]</t>
    </r>
  </si>
  <si>
    <t xml:space="preserve"> </t>
  </si>
  <si>
    <t>CELKEM</t>
  </si>
  <si>
    <t>délka</t>
  </si>
  <si>
    <r>
      <t>[m</t>
    </r>
    <r>
      <rPr>
        <b/>
        <sz val="10"/>
        <rFont val="Arial CE"/>
        <family val="2"/>
        <charset val="238"/>
      </rPr>
      <t>]</t>
    </r>
  </si>
  <si>
    <t>OSETÍ</t>
  </si>
  <si>
    <r>
      <t>[m</t>
    </r>
    <r>
      <rPr>
        <b/>
        <vertAlign val="super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]</t>
    </r>
  </si>
  <si>
    <t>ZÚ</t>
  </si>
  <si>
    <t>SVAHOVÁNÍ VÝKOPŮ</t>
  </si>
  <si>
    <t>KÚ</t>
  </si>
  <si>
    <t>ks</t>
  </si>
  <si>
    <t>m</t>
  </si>
  <si>
    <t>Žádost o stanovení přechodné úpravy provozu na poz. komunikacích</t>
  </si>
  <si>
    <t>Žádost o povolení zvláštního užívání komunikací po dobu výstavby</t>
  </si>
  <si>
    <t>Aktualizace DIO před zahájením výstavby a odsouhlasení s DI PČR</t>
  </si>
  <si>
    <t>m3</t>
  </si>
  <si>
    <t>m2</t>
  </si>
  <si>
    <t>Dopravně inženýrská opatření během výstavby - dopr. značení</t>
  </si>
  <si>
    <t>výkaz výměr a kubatur - SO 01: Záchytný průleh, SO 02: Úprava odpadního příkopu</t>
  </si>
  <si>
    <t>SKRÝVKA HUMUSOVÉ VRSTVY (organická zemina, drn)</t>
  </si>
  <si>
    <t>SKRÝVKA ORNICE</t>
  </si>
  <si>
    <t>NÁSYP, 93 % PS</t>
  </si>
  <si>
    <t>VÝKOP 
V ZEMINĚ TŘ. 3</t>
  </si>
  <si>
    <t>LOŽE ZE ŠTĚRKOPÍSKU</t>
  </si>
  <si>
    <t>DLAŽBA NASUCHO
 Z LK TL. 300 MM</t>
  </si>
  <si>
    <t>LOŽE Z BETONU C16/20</t>
  </si>
  <si>
    <t>OHUMUSOVÁNÍ TL. 100-150 MM</t>
  </si>
  <si>
    <t>ornice - celková bilance:</t>
  </si>
  <si>
    <t>podorničí (štěrkopísčitá zemina) - celková bilance</t>
  </si>
  <si>
    <t>SO01/02</t>
  </si>
  <si>
    <t>zásyp rozptylovací jámy (kam. zához &gt;125 mm)</t>
  </si>
  <si>
    <t>(možno využít kamenivo z výkopu podorničí, vytříděné na frakci nad 125 mm)</t>
  </si>
  <si>
    <t>filtrační a separační geotextilie na rozhraní kameniva a humusové vrstvy</t>
  </si>
  <si>
    <t>REGOZEM psefitická</t>
  </si>
  <si>
    <t>- odvoz do 5 km dle pokynů investora</t>
  </si>
  <si>
    <t>odstranění pařezů (do 30 cm) v trase příkopu</t>
  </si>
  <si>
    <t>Zajištění geom. plánu pro zápis věc. břemena</t>
  </si>
  <si>
    <t>Pasportizace přístupů a staveniště</t>
  </si>
  <si>
    <t>Vytyčení sítí - plyn, voda</t>
  </si>
  <si>
    <t>C.3.1</t>
  </si>
  <si>
    <t>D.1.3</t>
  </si>
  <si>
    <t>přesun do 50 m, rozprostření ornice tl. 0-0,2 m v rovině - průměr tl. 0,10 m</t>
  </si>
  <si>
    <t>skrývka ornice tl. 0-0,35 m v rovině - průměr tl. 0,18 m</t>
  </si>
  <si>
    <t>zásyp se zhutněním na 93 % PS</t>
  </si>
  <si>
    <t>hloubení výkopů plošných, hl. do 0,5m v zemině těžitelnost 3 dle ČSN 73 3050</t>
  </si>
  <si>
    <t>vč. přípočet ornice = humusové vrstvy z SO 02</t>
  </si>
  <si>
    <t>odvoz přebytečné zeminy na skl. investora bez polatku, do 5 km</t>
  </si>
  <si>
    <t>složení, urovnání zeminy na skládce</t>
  </si>
  <si>
    <t>rozrušení podorničí naoráním - hloubkovým podrýváním do hl. 0,5 m</t>
  </si>
  <si>
    <t>z toho rozpr. na pole:</t>
  </si>
  <si>
    <t>z toho ohum tl. 100 mm průleh:</t>
  </si>
  <si>
    <t>PRŮLEH</t>
  </si>
  <si>
    <t>PŘEJEZDNÝ ŽLAB</t>
  </si>
  <si>
    <t>kpl</t>
  </si>
  <si>
    <t>D.1.5</t>
  </si>
  <si>
    <t>poptaná cena 1 kompletu dl. 2,0 m = 38 248 Kč bez DPH (GONAP)</t>
  </si>
  <si>
    <t>poptaná cena kompletu 9 174  Kč bez DPH (GONAP)</t>
  </si>
  <si>
    <t>osazení dělené chráničky DN 500, dl. 4,0 m - vedení vodovodního řádu PVC DN 110</t>
  </si>
  <si>
    <t>osazení dělené chráničky DN 125, vč. tepelné izolace, dl. 2,0 m - plynovod PE DN63</t>
  </si>
  <si>
    <t>cena 7 260,00 za kus</t>
  </si>
  <si>
    <t>prefabrikovaný žlab TZD-Q 450/420/2000, komplet vč. oc. pozinkované mříže</t>
  </si>
  <si>
    <t>základový pás tl. 300 mm z bet. C25/30 XC4</t>
  </si>
  <si>
    <t>odvoz na skl. do 5 km se složením a rozhrnutím</t>
  </si>
  <si>
    <t>výkop pro žlab vč. založení, v zemině tř. 3</t>
  </si>
  <si>
    <t>výkop pro chráničku DN500, v zemině tř. 3</t>
  </si>
  <si>
    <t xml:space="preserve">podkladní ŠP podsyp tl 100 mm </t>
  </si>
  <si>
    <t>přechodový klín - násyp z kameniva 63/125 hutněný ruční mechanizací</t>
  </si>
  <si>
    <t>KARI KY 49 (oko 100*100 mm, drát 8 mm)</t>
  </si>
  <si>
    <t>zpětný zásyp po provedení chráničky, se zhutněním na 98% PS</t>
  </si>
  <si>
    <t>nájezdové rameno zpevnění - zhutněný štěrk fr. 32/63 tl. 200 mm</t>
  </si>
  <si>
    <t xml:space="preserve">nájezdové rameno - úprava pláně zhutněním </t>
  </si>
  <si>
    <t>nájezdové rameno zpevnění - zhutněný štěrk fr. 0/32 tl. 100 mm</t>
  </si>
  <si>
    <t>úprava vtoku - obetonování chráničky (bet. C25/30 XC4), dno vtoku</t>
  </si>
  <si>
    <t>úprava vtoku - dlažba z LK regul. kamene nasucho , tl. 250 mm, do ŠP lože tl. 100</t>
  </si>
  <si>
    <t>úprava vtoku - ohumusování tl. 100, osetí</t>
  </si>
  <si>
    <t>úprava výtoku - dlažba z LK regul. kamene nasucho , tl. 250 mm, do ŠP lože tl. 100</t>
  </si>
  <si>
    <t>úprava výtoku - ohumusování tl. 100, osetí</t>
  </si>
  <si>
    <t xml:space="preserve">čelo žlabu - zdivo tl. 300 mm z kamene hrubě upraveného regulačního na maltu MC 20 T50
 </t>
  </si>
  <si>
    <t xml:space="preserve">úprava zákl. spáry zhutněním </t>
  </si>
  <si>
    <t xml:space="preserve">závěrečné zavláčení všech ploch dotčených stavbou, s vybráním kamenů nad 20 mm, osetí travní směsí </t>
  </si>
  <si>
    <t>KLASIK travinobylinná louka klasická (trávy 90%, byliny 10%) s výsevkem 8 g/m2</t>
  </si>
  <si>
    <t>kg</t>
  </si>
  <si>
    <t>D.1.1</t>
  </si>
  <si>
    <t>600,00/kg</t>
  </si>
  <si>
    <t>ÚPRAVA PŘÍKOPU</t>
  </si>
  <si>
    <t>svahování výkopů do 1:5</t>
  </si>
  <si>
    <t>skrývka zeminy v příkopě - výkop v tř. 1</t>
  </si>
  <si>
    <t>svahování výkopů do 1:2 až 1:1</t>
  </si>
  <si>
    <t>lože pro žlabovky - bet. C16/20 XC2 tl. 100-150 mm</t>
  </si>
  <si>
    <t>žlabovka TBM - Q  220 - 600</t>
  </si>
  <si>
    <t>žlabovka TBM - Q  100 - 600</t>
  </si>
  <si>
    <t>kam. dlažba nasucho tl. 250 mm do ŠP lože tl. 100 mm</t>
  </si>
  <si>
    <t>podsyp pro dlažbu ze štěrkopísku, tl. 100 mm</t>
  </si>
  <si>
    <t>osetí travní směsí - Protierozní směs, výsevek 20 g/m2</t>
  </si>
  <si>
    <t>Protierozní směs, výsevek 20 g/m2</t>
  </si>
  <si>
    <t>85,00/kg</t>
  </si>
  <si>
    <t>hloubení výkopů -rýhy, hl. do 1,0 m v zemině těžitelnost 3 dle ČSN 73 3050</t>
  </si>
  <si>
    <t>D.2.2</t>
  </si>
  <si>
    <t>odvoz stav. suti na řízenou skl., do 10 km</t>
  </si>
  <si>
    <t>poplatek za uložení</t>
  </si>
  <si>
    <t>t</t>
  </si>
  <si>
    <t>bourání propustku PVC DN 250 s obetonováním, vč. suti z kamenných čel</t>
  </si>
  <si>
    <t>Bauset Čepí 150 Kč/t</t>
  </si>
  <si>
    <t>ODFRÉZOVÁNÍ STÁV. VRSTEV VOZOVKY, tl. 120 mm</t>
  </si>
  <si>
    <t>odvoz frezinku na řízenou skl., do 10 km</t>
  </si>
  <si>
    <t>úprava zákl. spáry zhutněním , Edef,2 =
min. 30 MPa</t>
  </si>
  <si>
    <t>podkladní a vyrovnávací betonová vrstva (bet. C12/16) v tl.100 mm</t>
  </si>
  <si>
    <t>obednění a odbednění - systémové</t>
  </si>
  <si>
    <t>ŽB podkladní trámce pro uložení trub</t>
  </si>
  <si>
    <t>trouby TZH Q 600/2500, hrdlové, vč. těsnění</t>
  </si>
  <si>
    <t>řez trouby příčný šikmý</t>
  </si>
  <si>
    <t>obetonování trub z železobetonu C 25/30 XC 4, XF 3</t>
  </si>
  <si>
    <t>základové pasy z železobetonu C 25/30 XC 4, XF 3</t>
  </si>
  <si>
    <t>betonový práh C 16/20 XC2</t>
  </si>
  <si>
    <t>D.1.4.</t>
  </si>
  <si>
    <t>kam. dlažba tl. 250 mm do do bet.  lože tl. 100 mm</t>
  </si>
  <si>
    <t>lože pro dlažbu - bet. C16/20 XC2 tl. 150 mm</t>
  </si>
  <si>
    <t>výztuž obetonování a pasů KARI KY 49 (oko 100*100 mm, drát 8 mm)</t>
  </si>
  <si>
    <t xml:space="preserve">STÁV. VÝÚST BET. DN400 - obetonování C25/30
</t>
  </si>
  <si>
    <t>STÁV. VÝÚST BET. DN400 zaříznout příčně</t>
  </si>
  <si>
    <t>výztuž čela KARI KY 49 (oko 100*100 mm, drát 8 mm)</t>
  </si>
  <si>
    <t>zásyp stavební rýhy zhutněnou štěrkodrtí ŠD A</t>
  </si>
  <si>
    <t>asfaltový beton podkladní ACP 16+ tl. 80 mm</t>
  </si>
  <si>
    <t>spojovací postřik dle TP 102 0,5 kg/m</t>
  </si>
  <si>
    <t>asfaltový beton obrusný ACO 11 tl. 40 mm</t>
  </si>
  <si>
    <t>těsnění spár polymerbitumenovou samolepící páskou</t>
  </si>
  <si>
    <t>ROZPTYLOVACÍ JÁMA NA KONCI ÚPRAVY</t>
  </si>
  <si>
    <t>odstranění propadlého propustku bet. DN300 - suť, odvoz k recyklaci do 10 km</t>
  </si>
  <si>
    <t>odstranění propadlého propustku bet. DN300 - zemina - odvoz na skl. investora do 5 km</t>
  </si>
  <si>
    <t>C.3.2</t>
  </si>
  <si>
    <t>pročištění stáv. propustku DN 400, ponechávaného</t>
  </si>
  <si>
    <t>D.2.1</t>
  </si>
  <si>
    <t>Stávající vyústění DN 100 - seříznutí a obetonování bet. C25/30 do roviny v rámci nové přídlažby</t>
  </si>
  <si>
    <t>ohumusování tl. do 100 mm,  svah 1:1 až 1:1,5</t>
  </si>
  <si>
    <t>kácení stromů tl. 0,2 m v trase příkopu</t>
  </si>
  <si>
    <t>kácení stromů tl. 0,15 m v trase příkopu</t>
  </si>
  <si>
    <t>kácení stromů tl. 0,10 m v trase příkopu</t>
  </si>
  <si>
    <t>D.3.1</t>
  </si>
  <si>
    <t>stabilizace hranic pozemků - mezník plastový</t>
  </si>
  <si>
    <t>C.3</t>
  </si>
  <si>
    <t>Zřízení oplocenek v 1,6 m, kůly dub, specifikace viz TZ D.3.1</t>
  </si>
  <si>
    <t>výsadba stromu do jamky 0,125 m3</t>
  </si>
  <si>
    <t>aplikace hydrogelu (PLANTASORB) v dávce 180 g/strom</t>
  </si>
  <si>
    <t>*3 kůly</t>
  </si>
  <si>
    <t>kotvení - 3 kůly prům. min. 6 cm, dl. 250 cm, dubové, vč. příčníků</t>
  </si>
  <si>
    <t>plastová chránička proti okusu zvěří – pletivo výš. 120 cm</t>
  </si>
  <si>
    <t>ukotvení sazenice úvazkem - textil. pásek</t>
  </si>
  <si>
    <t>mulčování (0,5 m2 biomasy/sazenice) v tl. 8-12 cm</t>
  </si>
  <si>
    <t>zálivka (100 l/strom)</t>
  </si>
  <si>
    <t>výsadba stromu/keře do jamky 0,02 m3</t>
  </si>
  <si>
    <t>aplikace hydrogelu (PLANTASORB) v dávce 20 g/dřevina</t>
  </si>
  <si>
    <t>signální kolík každá 5tá sazenice</t>
  </si>
  <si>
    <t>ochranným nátěr repelentu Aversol 1000ks/9kg</t>
  </si>
  <si>
    <t>zálivka (20 l/strom)</t>
  </si>
  <si>
    <t>máčení v mykorhizním roztoku Symbiom SYMBIVIT 80 g/rostlina</t>
  </si>
  <si>
    <t>máčení v mykorhizním roztoku Symbiom ECTOVIT 30 g/rostlina</t>
  </si>
  <si>
    <t>KÁCENÍ A VÝSADBY</t>
  </si>
  <si>
    <t>seč travních porostů - bezprostředně po výsevu - zapěstování drnu</t>
  </si>
  <si>
    <t>Kontrola ochrany proti okusu a zdravotního stavu výsadeb, oprava úvazků</t>
  </si>
  <si>
    <t>2x ročně</t>
  </si>
  <si>
    <t>seč travních porostů - strojově malou mechanizací</t>
  </si>
  <si>
    <t>ha</t>
  </si>
  <si>
    <t>zálivka 3xročně, mn. dle výsadbové dávky</t>
  </si>
  <si>
    <t>Doplnění úhynů sazenic</t>
  </si>
  <si>
    <t>Výchovné řezy solitérních stromů - pouze 3.rok následné péče</t>
  </si>
  <si>
    <t>NÁSLEDNÁ PÉČE 3 letá - tj. 3x opakování</t>
  </si>
  <si>
    <t>odkorněné akátové či dubové ohradní kůly (tl. 0,15 m, min. 0,8 m hl. p.t., vyčnívající 1,2 m nad terén)</t>
  </si>
  <si>
    <t>čela - dlažba z LK do bet. C 25/30 XC 4, XF 3, vč. spárování MC 20 T50 (kámen tl. 250 mm, železobeton tl. 150 mm)</t>
  </si>
  <si>
    <t>dlažba z LK tl. 250 mm</t>
  </si>
  <si>
    <t>ŽB C25/30 tl. 150 mm</t>
  </si>
  <si>
    <t>VYMAZAT 1/2020</t>
  </si>
  <si>
    <t>odstranění propustku bet. DN400 - suť, odvoz k recyklaci do 10 km</t>
  </si>
  <si>
    <t>PROPUSTEK km 0,064 35</t>
  </si>
  <si>
    <t>PROPUSTEK km 0,022 64</t>
  </si>
  <si>
    <t>D.1.2</t>
  </si>
  <si>
    <t>osazení korugované trouby SN4 DN 600 x 4650 mm, vč. seříznutí čel 1:1</t>
  </si>
  <si>
    <t>podklad ze ŠP tl. 200 mm</t>
  </si>
  <si>
    <t xml:space="preserve"> 2x betonový práh C 16/20 XC2 (pod čely)</t>
  </si>
  <si>
    <t>zpětný zásyp výkopovou zeminou, se zhutněním 95%PS</t>
  </si>
  <si>
    <t>čela - dlažba z LK do bet. C 16/20 XC2, vč. spárování MC 20 T50 (kámen tl. 250 mm, železobeton tl. 150 mm)</t>
  </si>
  <si>
    <t>DOPL. PO PROJ. 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</si>
</sst>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b/>
      <sz val="12"/>
      <name val="Arial CE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7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2" fontId="8" fillId="0" borderId="18" xfId="0" applyNumberFormat="1" applyFont="1" applyBorder="1" applyAlignment="1">
      <alignment horizontal="center" vertical="center"/>
    </xf>
    <xf numFmtId="2" fontId="8" fillId="0" borderId="2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2" fillId="0" borderId="9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0" borderId="29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2" fontId="2" fillId="4" borderId="8" xfId="0" applyNumberFormat="1" applyFont="1" applyFill="1" applyBorder="1" applyAlignment="1">
      <alignment horizontal="center" vertical="center"/>
    </xf>
    <xf numFmtId="2" fontId="2" fillId="4" borderId="10" xfId="0" applyNumberFormat="1" applyFont="1" applyFill="1" applyBorder="1" applyAlignment="1">
      <alignment horizontal="center" vertical="center"/>
    </xf>
    <xf numFmtId="2" fontId="2" fillId="4" borderId="17" xfId="0" applyNumberFormat="1" applyFont="1" applyFill="1" applyBorder="1" applyAlignment="1">
      <alignment horizontal="center" vertical="center"/>
    </xf>
    <xf numFmtId="2" fontId="2" fillId="4" borderId="11" xfId="0" applyNumberFormat="1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left" vertical="center"/>
    </xf>
    <xf numFmtId="0" fontId="18" fillId="0" borderId="0" xfId="0" applyFont="1" applyAlignment="1">
      <alignment horizontal="left"/>
    </xf>
    <xf numFmtId="2" fontId="0" fillId="0" borderId="0" xfId="0" quotePrefix="1" applyNumberFormat="1" applyAlignment="1">
      <alignment horizontal="left"/>
    </xf>
    <xf numFmtId="2" fontId="0" fillId="0" borderId="0" xfId="0" applyNumberFormat="1"/>
    <xf numFmtId="0" fontId="18" fillId="0" borderId="0" xfId="0" applyFont="1"/>
    <xf numFmtId="0" fontId="19" fillId="0" borderId="0" xfId="0" applyFont="1"/>
    <xf numFmtId="0" fontId="0" fillId="0" borderId="0" xfId="0" applyAlignment="1"/>
    <xf numFmtId="0" fontId="1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0" fontId="12" fillId="0" borderId="0" xfId="0" applyFont="1"/>
    <xf numFmtId="0" fontId="20" fillId="0" borderId="0" xfId="0" applyFont="1" applyAlignment="1"/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0" fontId="22" fillId="0" borderId="0" xfId="0" applyFont="1"/>
    <xf numFmtId="0" fontId="23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0" fillId="0" borderId="0" xfId="0" applyFont="1"/>
    <xf numFmtId="0" fontId="23" fillId="0" borderId="0" xfId="0" applyFont="1"/>
    <xf numFmtId="0" fontId="24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2" fontId="26" fillId="0" borderId="0" xfId="0" applyNumberFormat="1" applyFont="1" applyAlignment="1">
      <alignment horizontal="center"/>
    </xf>
    <xf numFmtId="0" fontId="21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2" fontId="7" fillId="3" borderId="18" xfId="0" applyNumberFormat="1" applyFont="1" applyFill="1" applyBorder="1" applyAlignment="1">
      <alignment horizontal="center" vertical="center"/>
    </xf>
    <xf numFmtId="2" fontId="7" fillId="3" borderId="19" xfId="0" applyNumberFormat="1" applyFont="1" applyFill="1" applyBorder="1" applyAlignment="1">
      <alignment horizontal="center" vertical="center"/>
    </xf>
    <xf numFmtId="2" fontId="7" fillId="3" borderId="21" xfId="0" applyNumberFormat="1" applyFont="1" applyFill="1" applyBorder="1" applyAlignment="1">
      <alignment horizontal="center" vertical="center"/>
    </xf>
    <xf numFmtId="2" fontId="7" fillId="3" borderId="22" xfId="0" applyNumberFormat="1" applyFont="1" applyFill="1" applyBorder="1" applyAlignment="1">
      <alignment horizontal="center" vertical="center"/>
    </xf>
    <xf numFmtId="2" fontId="7" fillId="3" borderId="20" xfId="0" applyNumberFormat="1" applyFont="1" applyFill="1" applyBorder="1" applyAlignment="1">
      <alignment horizontal="center" vertical="center"/>
    </xf>
    <xf numFmtId="2" fontId="7" fillId="3" borderId="23" xfId="0" applyNumberFormat="1" applyFont="1" applyFill="1" applyBorder="1" applyAlignment="1">
      <alignment horizontal="center" vertical="center"/>
    </xf>
    <xf numFmtId="2" fontId="16" fillId="3" borderId="20" xfId="0" applyNumberFormat="1" applyFont="1" applyFill="1" applyBorder="1" applyAlignment="1">
      <alignment horizontal="center" vertical="center"/>
    </xf>
    <xf numFmtId="2" fontId="16" fillId="3" borderId="23" xfId="0" applyNumberFormat="1" applyFont="1" applyFill="1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4"/>
  <sheetViews>
    <sheetView tabSelected="1" zoomScaleNormal="100" workbookViewId="0">
      <selection activeCell="G53" sqref="G53"/>
    </sheetView>
  </sheetViews>
  <sheetFormatPr defaultRowHeight="15" x14ac:dyDescent="0.25"/>
  <cols>
    <col min="1" max="1" width="5.7109375" style="1" customWidth="1"/>
    <col min="2" max="2" width="7.85546875" style="1" customWidth="1"/>
    <col min="3" max="3" width="6.7109375" style="1" customWidth="1"/>
    <col min="4" max="25" width="8.28515625" style="1" customWidth="1"/>
    <col min="28" max="28" width="8.28515625" style="1" customWidth="1"/>
    <col min="29" max="29" width="10.7109375" style="1" customWidth="1"/>
    <col min="30" max="30" width="8.28515625" style="1" customWidth="1"/>
    <col min="31" max="31" width="10.7109375" style="1" customWidth="1"/>
    <col min="32" max="32" width="8.28515625" style="1" customWidth="1"/>
    <col min="33" max="33" width="10.7109375" style="1" customWidth="1"/>
    <col min="34" max="37" width="8.28515625" style="1" customWidth="1"/>
    <col min="38" max="16384" width="9.140625" style="1"/>
  </cols>
  <sheetData>
    <row r="1" spans="1:27" ht="15.75" thickBot="1" x14ac:dyDescent="0.3">
      <c r="A1" s="64" t="s">
        <v>25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  <c r="W1" s="67"/>
      <c r="Z1" s="1"/>
      <c r="AA1" s="1"/>
    </row>
    <row r="2" spans="1:27" ht="33.75" customHeight="1" x14ac:dyDescent="0.25">
      <c r="A2" s="79" t="s">
        <v>0</v>
      </c>
      <c r="B2" s="82" t="s">
        <v>1</v>
      </c>
      <c r="C2" s="84" t="s">
        <v>2</v>
      </c>
      <c r="D2" s="86" t="s">
        <v>26</v>
      </c>
      <c r="E2" s="87"/>
      <c r="F2" s="76" t="s">
        <v>27</v>
      </c>
      <c r="G2" s="77"/>
      <c r="H2" s="76" t="s">
        <v>29</v>
      </c>
      <c r="I2" s="78"/>
      <c r="J2" s="76" t="s">
        <v>15</v>
      </c>
      <c r="K2" s="78"/>
      <c r="L2" s="76" t="s">
        <v>28</v>
      </c>
      <c r="M2" s="78"/>
      <c r="N2" s="76" t="s">
        <v>30</v>
      </c>
      <c r="O2" s="78"/>
      <c r="P2" s="76" t="s">
        <v>31</v>
      </c>
      <c r="Q2" s="78"/>
      <c r="R2" s="76" t="s">
        <v>32</v>
      </c>
      <c r="S2" s="78"/>
      <c r="T2" s="76" t="s">
        <v>33</v>
      </c>
      <c r="U2" s="78"/>
      <c r="V2" s="76" t="s">
        <v>12</v>
      </c>
      <c r="W2" s="78"/>
      <c r="Z2" s="1"/>
      <c r="AA2" s="1"/>
    </row>
    <row r="3" spans="1:27" x14ac:dyDescent="0.25">
      <c r="A3" s="80"/>
      <c r="B3" s="83"/>
      <c r="C3" s="85"/>
      <c r="D3" s="17" t="s">
        <v>3</v>
      </c>
      <c r="E3" s="18" t="s">
        <v>4</v>
      </c>
      <c r="F3" s="17" t="s">
        <v>3</v>
      </c>
      <c r="G3" s="18" t="s">
        <v>4</v>
      </c>
      <c r="H3" s="17" t="s">
        <v>3</v>
      </c>
      <c r="I3" s="18" t="s">
        <v>4</v>
      </c>
      <c r="J3" s="17" t="s">
        <v>10</v>
      </c>
      <c r="K3" s="18" t="s">
        <v>3</v>
      </c>
      <c r="L3" s="17" t="s">
        <v>3</v>
      </c>
      <c r="M3" s="18" t="s">
        <v>4</v>
      </c>
      <c r="N3" s="17" t="s">
        <v>3</v>
      </c>
      <c r="O3" s="18" t="s">
        <v>4</v>
      </c>
      <c r="P3" s="17" t="s">
        <v>10</v>
      </c>
      <c r="Q3" s="18" t="s">
        <v>3</v>
      </c>
      <c r="R3" s="17" t="s">
        <v>10</v>
      </c>
      <c r="S3" s="18" t="s">
        <v>3</v>
      </c>
      <c r="T3" s="17" t="s">
        <v>3</v>
      </c>
      <c r="U3" s="18" t="s">
        <v>4</v>
      </c>
      <c r="V3" s="17" t="s">
        <v>10</v>
      </c>
      <c r="W3" s="18" t="s">
        <v>3</v>
      </c>
      <c r="Z3" s="1"/>
      <c r="AA3" s="1"/>
    </row>
    <row r="4" spans="1:27" ht="15.75" thickBot="1" x14ac:dyDescent="0.3">
      <c r="A4" s="81"/>
      <c r="B4" s="2" t="s">
        <v>5</v>
      </c>
      <c r="C4" s="3" t="s">
        <v>5</v>
      </c>
      <c r="D4" s="19" t="s">
        <v>6</v>
      </c>
      <c r="E4" s="20" t="s">
        <v>7</v>
      </c>
      <c r="F4" s="19" t="s">
        <v>6</v>
      </c>
      <c r="G4" s="20" t="s">
        <v>7</v>
      </c>
      <c r="H4" s="19" t="s">
        <v>6</v>
      </c>
      <c r="I4" s="20" t="s">
        <v>7</v>
      </c>
      <c r="J4" s="19" t="s">
        <v>11</v>
      </c>
      <c r="K4" s="20" t="s">
        <v>13</v>
      </c>
      <c r="L4" s="19" t="s">
        <v>6</v>
      </c>
      <c r="M4" s="20" t="s">
        <v>7</v>
      </c>
      <c r="N4" s="19" t="s">
        <v>6</v>
      </c>
      <c r="O4" s="20" t="s">
        <v>7</v>
      </c>
      <c r="P4" s="19" t="s">
        <v>11</v>
      </c>
      <c r="Q4" s="20" t="s">
        <v>13</v>
      </c>
      <c r="R4" s="19" t="s">
        <v>11</v>
      </c>
      <c r="S4" s="20" t="s">
        <v>13</v>
      </c>
      <c r="T4" s="19" t="s">
        <v>6</v>
      </c>
      <c r="U4" s="20" t="s">
        <v>7</v>
      </c>
      <c r="V4" s="19" t="s">
        <v>11</v>
      </c>
      <c r="W4" s="20" t="s">
        <v>13</v>
      </c>
      <c r="Z4" s="1"/>
      <c r="AA4" s="1"/>
    </row>
    <row r="5" spans="1:27" ht="15.75" thickTop="1" x14ac:dyDescent="0.25">
      <c r="A5" s="4" t="s">
        <v>14</v>
      </c>
      <c r="B5" s="5">
        <v>0</v>
      </c>
      <c r="C5" s="6"/>
      <c r="D5" s="21">
        <v>3.21</v>
      </c>
      <c r="E5" s="22"/>
      <c r="F5" s="21">
        <v>0</v>
      </c>
      <c r="G5" s="22"/>
      <c r="H5" s="21">
        <v>0</v>
      </c>
      <c r="I5" s="22"/>
      <c r="J5" s="21">
        <v>0</v>
      </c>
      <c r="K5" s="22"/>
      <c r="L5" s="21">
        <v>0</v>
      </c>
      <c r="M5" s="22"/>
      <c r="N5" s="21">
        <v>0</v>
      </c>
      <c r="O5" s="22"/>
      <c r="P5" s="21">
        <v>0</v>
      </c>
      <c r="Q5" s="22"/>
      <c r="R5" s="21">
        <v>0</v>
      </c>
      <c r="S5" s="22"/>
      <c r="T5" s="21">
        <v>0.47</v>
      </c>
      <c r="U5" s="22"/>
      <c r="V5" s="21">
        <v>4.84</v>
      </c>
      <c r="W5" s="22"/>
      <c r="Z5" s="1"/>
      <c r="AA5" s="1"/>
    </row>
    <row r="6" spans="1:27" x14ac:dyDescent="0.25">
      <c r="A6" s="4"/>
      <c r="B6" s="5"/>
      <c r="C6" s="8">
        <f>(B7-B5)</f>
        <v>1.95</v>
      </c>
      <c r="D6" s="21"/>
      <c r="E6" s="9">
        <f>((D5+D7)/2)*$C$6</f>
        <v>6.2595000000000001</v>
      </c>
      <c r="F6" s="21"/>
      <c r="G6" s="9">
        <f>((F5+F7)/2)*$C$6</f>
        <v>0</v>
      </c>
      <c r="H6" s="21"/>
      <c r="I6" s="9">
        <f>((H5+H7)/2)*$C$6</f>
        <v>0</v>
      </c>
      <c r="J6" s="21"/>
      <c r="K6" s="9">
        <f>((J5+J7)/2)*$C$6</f>
        <v>0</v>
      </c>
      <c r="L6" s="21"/>
      <c r="M6" s="9">
        <f>((L5+L7)/2)*$C$6</f>
        <v>0</v>
      </c>
      <c r="N6" s="21"/>
      <c r="O6" s="9">
        <f>((N5+N7)/2)*$C$6</f>
        <v>0</v>
      </c>
      <c r="P6" s="21"/>
      <c r="Q6" s="9">
        <f>((P5+P7)/2)*$C$6</f>
        <v>0</v>
      </c>
      <c r="R6" s="21"/>
      <c r="S6" s="9">
        <f>((R5+R7)/2)*$C$6</f>
        <v>0</v>
      </c>
      <c r="T6" s="21"/>
      <c r="U6" s="9">
        <f>((T5+T7)/2)*$C$6</f>
        <v>0.91649999999999998</v>
      </c>
      <c r="V6" s="21"/>
      <c r="W6" s="9">
        <f>((V5+V7)/2)*$C$6</f>
        <v>9.4379999999999988</v>
      </c>
      <c r="Z6" s="1"/>
      <c r="AA6" s="1"/>
    </row>
    <row r="7" spans="1:27" x14ac:dyDescent="0.25">
      <c r="A7" s="4">
        <v>1</v>
      </c>
      <c r="B7" s="7">
        <v>1.95</v>
      </c>
      <c r="C7" s="6"/>
      <c r="D7" s="21">
        <v>3.21</v>
      </c>
      <c r="E7" s="9"/>
      <c r="F7" s="21">
        <v>0</v>
      </c>
      <c r="G7" s="9"/>
      <c r="H7" s="21">
        <v>0</v>
      </c>
      <c r="I7" s="9"/>
      <c r="J7" s="21">
        <v>0</v>
      </c>
      <c r="K7" s="9"/>
      <c r="L7" s="21">
        <v>0</v>
      </c>
      <c r="M7" s="9"/>
      <c r="N7" s="21">
        <v>0</v>
      </c>
      <c r="O7" s="9"/>
      <c r="P7" s="21">
        <v>0</v>
      </c>
      <c r="Q7" s="9"/>
      <c r="R7" s="21">
        <v>0</v>
      </c>
      <c r="S7" s="9"/>
      <c r="T7" s="21">
        <v>0.47</v>
      </c>
      <c r="U7" s="9"/>
      <c r="V7" s="21">
        <v>4.84</v>
      </c>
      <c r="W7" s="9"/>
      <c r="Z7" s="1"/>
      <c r="AA7" s="1"/>
    </row>
    <row r="8" spans="1:27" x14ac:dyDescent="0.25">
      <c r="A8" s="10" t="s">
        <v>8</v>
      </c>
      <c r="B8" s="7"/>
      <c r="C8" s="8">
        <f>(B9-B7)</f>
        <v>5.0999999999999996</v>
      </c>
      <c r="D8" s="23" t="s">
        <v>8</v>
      </c>
      <c r="E8" s="9">
        <f>((D7+D9)/2)*$C$8</f>
        <v>10.021499999999998</v>
      </c>
      <c r="F8" s="23" t="s">
        <v>8</v>
      </c>
      <c r="G8" s="9">
        <f>((F7+F9)/2)*$C$8</f>
        <v>0</v>
      </c>
      <c r="H8" s="23" t="s">
        <v>8</v>
      </c>
      <c r="I8" s="9">
        <f>((H7+H9)/2)*$C$8</f>
        <v>0</v>
      </c>
      <c r="J8" s="23" t="s">
        <v>8</v>
      </c>
      <c r="K8" s="9">
        <v>0</v>
      </c>
      <c r="L8" s="23" t="s">
        <v>8</v>
      </c>
      <c r="M8" s="9">
        <f>((L7+L9)/2)*$C$8</f>
        <v>0</v>
      </c>
      <c r="N8" s="23" t="s">
        <v>8</v>
      </c>
      <c r="O8" s="9">
        <f>((N9))*2</f>
        <v>0.28000000000000003</v>
      </c>
      <c r="P8" s="23" t="s">
        <v>8</v>
      </c>
      <c r="Q8" s="9">
        <f>((P9))*2</f>
        <v>1.2</v>
      </c>
      <c r="R8" s="23" t="s">
        <v>8</v>
      </c>
      <c r="S8" s="9">
        <f>((R9))*2</f>
        <v>0.18</v>
      </c>
      <c r="T8" s="23" t="s">
        <v>8</v>
      </c>
      <c r="U8" s="9">
        <f>((T7+T9)/2)*$C$8</f>
        <v>1.2749999999999999</v>
      </c>
      <c r="V8" s="23" t="s">
        <v>8</v>
      </c>
      <c r="W8" s="9">
        <f>((V7+V9)/2)*$C$8</f>
        <v>14.713499999999998</v>
      </c>
      <c r="Z8" s="1"/>
      <c r="AA8" s="1"/>
    </row>
    <row r="9" spans="1:27" x14ac:dyDescent="0.25">
      <c r="A9" s="4">
        <v>2</v>
      </c>
      <c r="B9" s="7">
        <v>7.05</v>
      </c>
      <c r="C9" s="8"/>
      <c r="D9" s="21">
        <v>0.72</v>
      </c>
      <c r="E9" s="9"/>
      <c r="F9" s="21">
        <v>0</v>
      </c>
      <c r="G9" s="9"/>
      <c r="H9" s="21">
        <v>0</v>
      </c>
      <c r="I9" s="9"/>
      <c r="J9" s="21">
        <v>0.4</v>
      </c>
      <c r="K9" s="9"/>
      <c r="L9" s="21">
        <v>0</v>
      </c>
      <c r="M9" s="9"/>
      <c r="N9" s="21">
        <v>0.14000000000000001</v>
      </c>
      <c r="O9" s="9"/>
      <c r="P9" s="21">
        <v>0.6</v>
      </c>
      <c r="Q9" s="9"/>
      <c r="R9" s="21">
        <v>0.09</v>
      </c>
      <c r="S9" s="9"/>
      <c r="T9" s="21">
        <v>0.03</v>
      </c>
      <c r="U9" s="9"/>
      <c r="V9" s="21">
        <v>0.93</v>
      </c>
      <c r="W9" s="9"/>
      <c r="Z9" s="1"/>
      <c r="AA9" s="1"/>
    </row>
    <row r="10" spans="1:27" x14ac:dyDescent="0.25">
      <c r="A10" s="11"/>
      <c r="B10" s="7"/>
      <c r="C10" s="8">
        <f>(B11-B9)</f>
        <v>9.7899999999999991</v>
      </c>
      <c r="D10" s="23" t="s">
        <v>8</v>
      </c>
      <c r="E10" s="9">
        <f>((D9+D11)/2)*$C$10</f>
        <v>6.5103499999999999</v>
      </c>
      <c r="F10" s="23" t="s">
        <v>8</v>
      </c>
      <c r="G10" s="9">
        <f>((F9+F11)/2)*$C$10</f>
        <v>0</v>
      </c>
      <c r="H10" s="23" t="s">
        <v>8</v>
      </c>
      <c r="I10" s="9">
        <f>((H9+H11)/2)*$C$10</f>
        <v>0</v>
      </c>
      <c r="J10" s="23" t="s">
        <v>8</v>
      </c>
      <c r="K10" s="9">
        <f>((J9+J11)/2)*$C$10</f>
        <v>6.8040500000000002</v>
      </c>
      <c r="L10" s="23" t="s">
        <v>8</v>
      </c>
      <c r="M10" s="9">
        <f>((L9+L11)/2)*$C$10</f>
        <v>0</v>
      </c>
      <c r="N10" s="23" t="s">
        <v>8</v>
      </c>
      <c r="O10" s="9">
        <f>((N9+N11)/2)*$C$10</f>
        <v>1.6153499999999998</v>
      </c>
      <c r="P10" s="23" t="s">
        <v>8</v>
      </c>
      <c r="Q10" s="9">
        <f>((P9+P11)/2)*$C$10</f>
        <v>5.8739999999999997</v>
      </c>
      <c r="R10" s="23" t="s">
        <v>8</v>
      </c>
      <c r="S10" s="9">
        <f>((R9+R11)/2)*$C$10</f>
        <v>1.12585</v>
      </c>
      <c r="T10" s="23" t="s">
        <v>8</v>
      </c>
      <c r="U10" s="9">
        <f>((T9+T11)/2)*$C$10</f>
        <v>0.14684999999999998</v>
      </c>
      <c r="V10" s="23" t="s">
        <v>8</v>
      </c>
      <c r="W10" s="9">
        <f>((V9+V11)/2)*$C$10</f>
        <v>9.3983999999999988</v>
      </c>
      <c r="Z10" s="1"/>
      <c r="AA10" s="1"/>
    </row>
    <row r="11" spans="1:27" x14ac:dyDescent="0.25">
      <c r="A11" s="4">
        <v>3</v>
      </c>
      <c r="B11" s="7">
        <v>16.84</v>
      </c>
      <c r="C11" s="8"/>
      <c r="D11" s="21">
        <v>0.61</v>
      </c>
      <c r="E11" s="9"/>
      <c r="F11" s="21">
        <v>0</v>
      </c>
      <c r="G11" s="9"/>
      <c r="H11" s="21">
        <v>0</v>
      </c>
      <c r="I11" s="9"/>
      <c r="J11" s="21">
        <v>0.99</v>
      </c>
      <c r="K11" s="9"/>
      <c r="L11" s="21">
        <v>0</v>
      </c>
      <c r="M11" s="9"/>
      <c r="N11" s="21">
        <v>0.19</v>
      </c>
      <c r="O11" s="9"/>
      <c r="P11" s="21">
        <v>0.6</v>
      </c>
      <c r="Q11" s="9"/>
      <c r="R11" s="21">
        <v>0.14000000000000001</v>
      </c>
      <c r="S11" s="9"/>
      <c r="T11" s="21">
        <v>0</v>
      </c>
      <c r="U11" s="9"/>
      <c r="V11" s="21">
        <v>0.99</v>
      </c>
      <c r="W11" s="9"/>
      <c r="Z11" s="1"/>
      <c r="AA11" s="1"/>
    </row>
    <row r="12" spans="1:27" x14ac:dyDescent="0.25">
      <c r="A12" s="10"/>
      <c r="B12" s="16"/>
      <c r="C12" s="8">
        <f>(B13-B11)</f>
        <v>18.010000000000002</v>
      </c>
      <c r="D12" s="23"/>
      <c r="E12" s="9">
        <f>((D11+D13)/2)*$C$12</f>
        <v>11.346300000000001</v>
      </c>
      <c r="F12" s="23"/>
      <c r="G12" s="9">
        <f>((F11+F13)/2)*$C$12</f>
        <v>0</v>
      </c>
      <c r="H12" s="23"/>
      <c r="I12" s="9">
        <f>((H11+H13)/2)*$C$12</f>
        <v>0</v>
      </c>
      <c r="J12" s="23"/>
      <c r="K12" s="9">
        <f>((J11+J13)/2)*$C$12</f>
        <v>12.9672</v>
      </c>
      <c r="L12" s="23"/>
      <c r="M12" s="9">
        <f>((L11+L13)/2)*$C$12</f>
        <v>0</v>
      </c>
      <c r="N12" s="23"/>
      <c r="O12" s="9">
        <f>((N11+N13)/2)*$C$12</f>
        <v>3.4219000000000004</v>
      </c>
      <c r="P12" s="23"/>
      <c r="Q12" s="9">
        <f>((P11+P13)/2)*$C$12</f>
        <v>10.806000000000001</v>
      </c>
      <c r="R12" s="23"/>
      <c r="S12" s="9">
        <f>((R11+R13)/2)*$C$12</f>
        <v>2.5214000000000003</v>
      </c>
      <c r="T12" s="23"/>
      <c r="U12" s="9">
        <f>((T11+T13)/2)*$C$12</f>
        <v>9.0050000000000005E-2</v>
      </c>
      <c r="V12" s="23"/>
      <c r="W12" s="9">
        <f>((V11+V13)/2)*$C$12</f>
        <v>12.9672</v>
      </c>
      <c r="Z12" s="1"/>
      <c r="AA12" s="1"/>
    </row>
    <row r="13" spans="1:27" x14ac:dyDescent="0.25">
      <c r="A13" s="4">
        <v>4</v>
      </c>
      <c r="B13" s="5">
        <v>34.85</v>
      </c>
      <c r="C13" s="8"/>
      <c r="D13" s="21">
        <v>0.65</v>
      </c>
      <c r="E13" s="9"/>
      <c r="F13" s="21">
        <v>0</v>
      </c>
      <c r="G13" s="9"/>
      <c r="H13" s="21">
        <v>0</v>
      </c>
      <c r="I13" s="9"/>
      <c r="J13" s="21">
        <v>0.45</v>
      </c>
      <c r="K13" s="9"/>
      <c r="L13" s="21">
        <v>0</v>
      </c>
      <c r="M13" s="9"/>
      <c r="N13" s="21">
        <v>0.19</v>
      </c>
      <c r="O13" s="9"/>
      <c r="P13" s="21">
        <v>0.6</v>
      </c>
      <c r="Q13" s="9"/>
      <c r="R13" s="21">
        <v>0.14000000000000001</v>
      </c>
      <c r="S13" s="9"/>
      <c r="T13" s="21">
        <v>0.01</v>
      </c>
      <c r="U13" s="9"/>
      <c r="V13" s="21">
        <v>0.45</v>
      </c>
      <c r="W13" s="9"/>
      <c r="Z13" s="1"/>
      <c r="AA13" s="1"/>
    </row>
    <row r="14" spans="1:27" x14ac:dyDescent="0.25">
      <c r="A14" s="10"/>
      <c r="B14" s="5"/>
      <c r="C14" s="8">
        <f>(B15-B13)</f>
        <v>21</v>
      </c>
      <c r="D14" s="23"/>
      <c r="E14" s="9">
        <f>((D13+D15)/2)*$C$14</f>
        <v>17.43</v>
      </c>
      <c r="F14" s="23"/>
      <c r="G14" s="9">
        <f>((F13+F15)/2)*$C$14</f>
        <v>0</v>
      </c>
      <c r="H14" s="23"/>
      <c r="I14" s="9">
        <f>((H13+H15)/2)*$C$14</f>
        <v>0</v>
      </c>
      <c r="J14" s="23"/>
      <c r="K14" s="9">
        <f>((J13+J15)/2)*$C$14</f>
        <v>18.585000000000001</v>
      </c>
      <c r="L14" s="23"/>
      <c r="M14" s="9">
        <f>((L13+L15)/2)*$C$14</f>
        <v>0</v>
      </c>
      <c r="N14" s="23"/>
      <c r="O14" s="9">
        <f>((N13+N15)/2)*$C$14</f>
        <v>3.99</v>
      </c>
      <c r="P14" s="23"/>
      <c r="Q14" s="9">
        <f>((P13+P15)/2)*$C$14</f>
        <v>12.6</v>
      </c>
      <c r="R14" s="23"/>
      <c r="S14" s="9">
        <f>((R13+R15)/2)*$C$14</f>
        <v>2.9400000000000004</v>
      </c>
      <c r="T14" s="23"/>
      <c r="U14" s="9">
        <f>((T13+T15)/2)*$C$14</f>
        <v>0.105</v>
      </c>
      <c r="V14" s="23"/>
      <c r="W14" s="9">
        <f>((V13+V15)/2)*$C$14</f>
        <v>18.690000000000001</v>
      </c>
      <c r="Z14" s="1"/>
      <c r="AA14" s="1"/>
    </row>
    <row r="15" spans="1:27" x14ac:dyDescent="0.25">
      <c r="A15" s="4">
        <v>5</v>
      </c>
      <c r="B15" s="5">
        <v>55.85</v>
      </c>
      <c r="C15" s="8"/>
      <c r="D15" s="21">
        <v>1.01</v>
      </c>
      <c r="E15" s="9"/>
      <c r="F15" s="21">
        <v>0</v>
      </c>
      <c r="G15" s="9"/>
      <c r="H15" s="21">
        <v>0</v>
      </c>
      <c r="I15" s="9"/>
      <c r="J15" s="21">
        <v>1.32</v>
      </c>
      <c r="K15" s="9"/>
      <c r="L15" s="21">
        <v>0</v>
      </c>
      <c r="M15" s="9"/>
      <c r="N15" s="21">
        <v>0.19</v>
      </c>
      <c r="O15" s="9"/>
      <c r="P15" s="21">
        <v>0.6</v>
      </c>
      <c r="Q15" s="9"/>
      <c r="R15" s="21">
        <v>0.14000000000000001</v>
      </c>
      <c r="S15" s="9"/>
      <c r="T15" s="21">
        <v>0</v>
      </c>
      <c r="U15" s="9"/>
      <c r="V15" s="21">
        <v>1.33</v>
      </c>
      <c r="W15" s="9"/>
      <c r="Z15" s="1"/>
      <c r="AA15" s="1"/>
    </row>
    <row r="16" spans="1:27" x14ac:dyDescent="0.25">
      <c r="A16" s="10"/>
      <c r="B16" s="5"/>
      <c r="C16" s="8">
        <f>(B17-B15)</f>
        <v>16.999999999999993</v>
      </c>
      <c r="D16" s="23"/>
      <c r="E16" s="9">
        <f>((D15+D17)/2)*$C$16</f>
        <v>20.739999999999991</v>
      </c>
      <c r="F16" s="23"/>
      <c r="G16" s="9">
        <f>((F15+F17)/2)*$C$16</f>
        <v>0</v>
      </c>
      <c r="H16" s="23"/>
      <c r="I16" s="9">
        <f>((H15+H17)/2)*$C$16</f>
        <v>0</v>
      </c>
      <c r="J16" s="23"/>
      <c r="K16" s="9">
        <f>((J15+J17)/2)*$C$16</f>
        <v>30.344999999999988</v>
      </c>
      <c r="L16" s="23"/>
      <c r="M16" s="9">
        <f>((L15+L17)/2)*$C$16</f>
        <v>0</v>
      </c>
      <c r="N16" s="23"/>
      <c r="O16" s="9">
        <f>((N15+N17)/2)*$C$16</f>
        <v>2.8049999999999988</v>
      </c>
      <c r="P16" s="23"/>
      <c r="Q16" s="9">
        <f>((P15+P17)/2)*$C$16</f>
        <v>10.199999999999996</v>
      </c>
      <c r="R16" s="23"/>
      <c r="S16" s="9">
        <f>((R15+R17)/2)*$C$16</f>
        <v>1.9549999999999992</v>
      </c>
      <c r="T16" s="23"/>
      <c r="U16" s="9">
        <f>((T15+T17)/2)*$C$16</f>
        <v>8.4999999999999964E-2</v>
      </c>
      <c r="V16" s="23"/>
      <c r="W16" s="9">
        <f>((V15+V17)/2)*$C$16</f>
        <v>30.429999999999989</v>
      </c>
      <c r="Z16" s="1"/>
      <c r="AA16" s="1"/>
    </row>
    <row r="17" spans="1:27" x14ac:dyDescent="0.25">
      <c r="A17" s="4">
        <v>6</v>
      </c>
      <c r="B17" s="5">
        <v>72.849999999999994</v>
      </c>
      <c r="C17" s="8"/>
      <c r="D17" s="21">
        <v>1.43</v>
      </c>
      <c r="E17" s="9"/>
      <c r="F17" s="21">
        <v>0</v>
      </c>
      <c r="G17" s="9"/>
      <c r="H17" s="21">
        <v>0</v>
      </c>
      <c r="I17" s="9"/>
      <c r="J17" s="21">
        <v>2.25</v>
      </c>
      <c r="K17" s="9"/>
      <c r="L17" s="21">
        <v>0</v>
      </c>
      <c r="M17" s="9"/>
      <c r="N17" s="21">
        <v>0.14000000000000001</v>
      </c>
      <c r="O17" s="9"/>
      <c r="P17" s="21">
        <v>0.6</v>
      </c>
      <c r="Q17" s="9"/>
      <c r="R17" s="21">
        <v>0.09</v>
      </c>
      <c r="S17" s="9"/>
      <c r="T17" s="21">
        <v>0.01</v>
      </c>
      <c r="U17" s="9"/>
      <c r="V17" s="21">
        <v>2.25</v>
      </c>
      <c r="W17" s="9"/>
      <c r="Z17" s="1"/>
      <c r="AA17" s="1"/>
    </row>
    <row r="18" spans="1:27" x14ac:dyDescent="0.25">
      <c r="A18" s="10"/>
      <c r="B18" s="5"/>
      <c r="C18" s="8">
        <f>(B19-B17)</f>
        <v>42.210000000000008</v>
      </c>
      <c r="D18" s="23"/>
      <c r="E18" s="9">
        <f>((D17+D19)/2)*$C$18</f>
        <v>52.129350000000002</v>
      </c>
      <c r="F18" s="23"/>
      <c r="G18" s="9">
        <f>((F17+F19)/2)*$C$18</f>
        <v>0</v>
      </c>
      <c r="H18" s="23"/>
      <c r="I18" s="9">
        <f>((H17+H19)/2)*$C$18</f>
        <v>0</v>
      </c>
      <c r="J18" s="23"/>
      <c r="K18" s="9">
        <f>((J17+J19)/2)*$C$18</f>
        <v>93.284100000000009</v>
      </c>
      <c r="L18" s="23"/>
      <c r="M18" s="9">
        <f>((L17+L19)/2)*$C$18</f>
        <v>0</v>
      </c>
      <c r="N18" s="23"/>
      <c r="O18" s="9">
        <f>((N17+N19)/2)*$C$18</f>
        <v>5.9094000000000015</v>
      </c>
      <c r="P18" s="23"/>
      <c r="Q18" s="9">
        <f>((P17+P19)/2)*$C$18</f>
        <v>25.326000000000004</v>
      </c>
      <c r="R18" s="23"/>
      <c r="S18" s="9">
        <f>((R17+R19)/2)*$C$18</f>
        <v>3.7989000000000006</v>
      </c>
      <c r="T18" s="23"/>
      <c r="U18" s="9">
        <f>((T17+T19)/2)*$C$18</f>
        <v>0.42210000000000009</v>
      </c>
      <c r="V18" s="23"/>
      <c r="W18" s="9">
        <f>((V17+V19)/2)*$C$18</f>
        <v>93.284100000000009</v>
      </c>
      <c r="Z18" s="1"/>
      <c r="AA18" s="1"/>
    </row>
    <row r="19" spans="1:27" x14ac:dyDescent="0.25">
      <c r="A19" s="4">
        <v>7</v>
      </c>
      <c r="B19" s="5">
        <v>115.06</v>
      </c>
      <c r="C19" s="8"/>
      <c r="D19" s="21">
        <v>1.04</v>
      </c>
      <c r="E19" s="9"/>
      <c r="F19" s="21">
        <v>0</v>
      </c>
      <c r="G19" s="9"/>
      <c r="H19" s="21">
        <v>0</v>
      </c>
      <c r="I19" s="9"/>
      <c r="J19" s="21">
        <v>2.17</v>
      </c>
      <c r="K19" s="9"/>
      <c r="L19" s="21">
        <v>0</v>
      </c>
      <c r="M19" s="9"/>
      <c r="N19" s="21">
        <v>0.14000000000000001</v>
      </c>
      <c r="O19" s="9"/>
      <c r="P19" s="21">
        <v>0.6</v>
      </c>
      <c r="Q19" s="9"/>
      <c r="R19" s="21">
        <v>0.09</v>
      </c>
      <c r="S19" s="9"/>
      <c r="T19" s="21">
        <v>0.01</v>
      </c>
      <c r="U19" s="9"/>
      <c r="V19" s="21">
        <v>2.17</v>
      </c>
      <c r="W19" s="9"/>
      <c r="Z19" s="1"/>
      <c r="AA19" s="1"/>
    </row>
    <row r="20" spans="1:27" x14ac:dyDescent="0.25">
      <c r="A20" s="10"/>
      <c r="B20" s="5"/>
      <c r="C20" s="8">
        <f>(B21-B19)</f>
        <v>30.150000000000006</v>
      </c>
      <c r="D20" s="23"/>
      <c r="E20" s="9">
        <f>((D19+D21)/2)*$C$20</f>
        <v>28.642500000000005</v>
      </c>
      <c r="F20" s="23"/>
      <c r="G20" s="9">
        <f>((F19+F21)/2)*$C$20</f>
        <v>0</v>
      </c>
      <c r="H20" s="23"/>
      <c r="I20" s="9">
        <f>((H19+H21)/2)*$C$20</f>
        <v>0</v>
      </c>
      <c r="J20" s="23"/>
      <c r="K20" s="9">
        <f>((J19+J21)/2)*$C$20</f>
        <v>55.174500000000016</v>
      </c>
      <c r="L20" s="23"/>
      <c r="M20" s="9">
        <f>((L19+L21)/2)*$C$20</f>
        <v>0</v>
      </c>
      <c r="N20" s="23"/>
      <c r="O20" s="9">
        <f>((N19+N21)/2)*$C$20</f>
        <v>4.221000000000001</v>
      </c>
      <c r="P20" s="23"/>
      <c r="Q20" s="9">
        <f>((P19+P21)/2)*$C$20</f>
        <v>18.090000000000003</v>
      </c>
      <c r="R20" s="23"/>
      <c r="S20" s="9">
        <f>((R19+R21)/2)*$C$20</f>
        <v>2.7135000000000002</v>
      </c>
      <c r="T20" s="23"/>
      <c r="U20" s="9">
        <f>((T19+T21)/2)*$C$20</f>
        <v>0.90450000000000019</v>
      </c>
      <c r="V20" s="23"/>
      <c r="W20" s="9">
        <f>((V19+V21)/2)*$C$20</f>
        <v>61.656750000000009</v>
      </c>
      <c r="Z20" s="1"/>
      <c r="AA20" s="1"/>
    </row>
    <row r="21" spans="1:27" x14ac:dyDescent="0.25">
      <c r="A21" s="4">
        <v>8</v>
      </c>
      <c r="B21" s="5">
        <v>145.21</v>
      </c>
      <c r="C21" s="8"/>
      <c r="D21" s="21">
        <v>0.86</v>
      </c>
      <c r="E21" s="9"/>
      <c r="F21" s="21">
        <v>0</v>
      </c>
      <c r="G21" s="9"/>
      <c r="H21" s="21">
        <v>0</v>
      </c>
      <c r="I21" s="9"/>
      <c r="J21" s="21">
        <v>1.49</v>
      </c>
      <c r="K21" s="9"/>
      <c r="L21" s="21">
        <v>0</v>
      </c>
      <c r="M21" s="9"/>
      <c r="N21" s="21">
        <v>0.14000000000000001</v>
      </c>
      <c r="O21" s="9"/>
      <c r="P21" s="21">
        <v>0.6</v>
      </c>
      <c r="Q21" s="9"/>
      <c r="R21" s="21">
        <v>0.09</v>
      </c>
      <c r="S21" s="9"/>
      <c r="T21" s="21">
        <v>0.05</v>
      </c>
      <c r="U21" s="9"/>
      <c r="V21" s="21">
        <v>1.92</v>
      </c>
      <c r="W21" s="9"/>
      <c r="Z21" s="1"/>
      <c r="AA21" s="1"/>
    </row>
    <row r="22" spans="1:27" x14ac:dyDescent="0.25">
      <c r="A22" s="36" t="s">
        <v>36</v>
      </c>
      <c r="B22" s="32"/>
      <c r="C22" s="33">
        <f>(B23-B21)</f>
        <v>14.789999999999992</v>
      </c>
      <c r="D22" s="34"/>
      <c r="E22" s="35">
        <f>((D21))*13</f>
        <v>11.18</v>
      </c>
      <c r="F22" s="34"/>
      <c r="G22" s="35">
        <f>((F23))*5</f>
        <v>8.2999999999999989</v>
      </c>
      <c r="H22" s="34"/>
      <c r="I22" s="35">
        <f>((H23))*5</f>
        <v>4.8499999999999996</v>
      </c>
      <c r="J22" s="34"/>
      <c r="K22" s="35">
        <f>((J21+J23)/2)*$C$22</f>
        <v>58.050749999999972</v>
      </c>
      <c r="L22" s="34"/>
      <c r="M22" s="35">
        <f>((L23))*5</f>
        <v>2.6</v>
      </c>
      <c r="N22" s="34"/>
      <c r="O22" s="35">
        <f>((N21))*13</f>
        <v>1.8200000000000003</v>
      </c>
      <c r="P22" s="34"/>
      <c r="Q22" s="35">
        <f>((P21))*3+0.85*10</f>
        <v>10.3</v>
      </c>
      <c r="R22" s="34"/>
      <c r="S22" s="35">
        <f>((R21))*13</f>
        <v>1.17</v>
      </c>
      <c r="T22" s="34"/>
      <c r="U22" s="35">
        <f>((T21+T23)/2)*$C$22</f>
        <v>13.310999999999993</v>
      </c>
      <c r="V22" s="34"/>
      <c r="W22" s="35">
        <f>((V21+V23)/2)*$C$22</f>
        <v>104.49134999999995</v>
      </c>
      <c r="Z22" s="1"/>
      <c r="AA22" s="1"/>
    </row>
    <row r="23" spans="1:27" x14ac:dyDescent="0.25">
      <c r="A23" s="4">
        <v>9</v>
      </c>
      <c r="B23" s="5">
        <v>160</v>
      </c>
      <c r="C23" s="8"/>
      <c r="D23" s="21">
        <v>0</v>
      </c>
      <c r="E23" s="9"/>
      <c r="F23" s="21">
        <v>1.66</v>
      </c>
      <c r="G23" s="9"/>
      <c r="H23" s="21">
        <v>0.97</v>
      </c>
      <c r="I23" s="9"/>
      <c r="J23" s="21">
        <v>6.36</v>
      </c>
      <c r="K23" s="9"/>
      <c r="L23" s="21">
        <v>0.52</v>
      </c>
      <c r="M23" s="9"/>
      <c r="N23" s="21">
        <v>0</v>
      </c>
      <c r="O23" s="9"/>
      <c r="P23" s="21">
        <v>0</v>
      </c>
      <c r="Q23" s="9"/>
      <c r="R23" s="21">
        <v>0</v>
      </c>
      <c r="S23" s="9"/>
      <c r="T23" s="21">
        <v>1.75</v>
      </c>
      <c r="U23" s="9"/>
      <c r="V23" s="21">
        <v>12.21</v>
      </c>
      <c r="W23" s="9"/>
      <c r="Z23" s="1"/>
      <c r="AA23" s="1"/>
    </row>
    <row r="24" spans="1:27" x14ac:dyDescent="0.25">
      <c r="A24" s="10"/>
      <c r="B24" s="5"/>
      <c r="C24" s="8">
        <f>(B25-B23)</f>
        <v>35</v>
      </c>
      <c r="D24" s="23"/>
      <c r="E24" s="9">
        <f>((D23+D25)/2)*$C$24</f>
        <v>0</v>
      </c>
      <c r="F24" s="23"/>
      <c r="G24" s="9">
        <f>((F23+F25)/2)*$C$24</f>
        <v>64.05</v>
      </c>
      <c r="H24" s="23"/>
      <c r="I24" s="9">
        <f>((H23+H25)/2)*$C$24</f>
        <v>25.55</v>
      </c>
      <c r="J24" s="23"/>
      <c r="K24" s="9">
        <f>((J23+J25)/2)*$C$24</f>
        <v>254.45</v>
      </c>
      <c r="L24" s="23"/>
      <c r="M24" s="9">
        <f>((L23+L25)/2)*$C$24</f>
        <v>9.4500000000000011</v>
      </c>
      <c r="N24" s="23"/>
      <c r="O24" s="9">
        <f>((N23+N25)/2)*$C$24</f>
        <v>0</v>
      </c>
      <c r="P24" s="23"/>
      <c r="Q24" s="9">
        <f>((P23+P25)/2)*$C$24</f>
        <v>0</v>
      </c>
      <c r="R24" s="23"/>
      <c r="S24" s="9">
        <f>((R23+R25)/2)*$C$24</f>
        <v>0</v>
      </c>
      <c r="T24" s="23"/>
      <c r="U24" s="9">
        <f>((T23+T25)/2)*$C$24</f>
        <v>53.375</v>
      </c>
      <c r="V24" s="23"/>
      <c r="W24" s="9">
        <f>((V23+V25)/2)*$C$24</f>
        <v>423.84999999999997</v>
      </c>
      <c r="Z24" s="1"/>
      <c r="AA24" s="1"/>
    </row>
    <row r="25" spans="1:27" x14ac:dyDescent="0.25">
      <c r="A25" s="4">
        <v>10</v>
      </c>
      <c r="B25" s="7">
        <v>195</v>
      </c>
      <c r="C25" s="8"/>
      <c r="D25" s="21">
        <v>0</v>
      </c>
      <c r="E25" s="9"/>
      <c r="F25" s="21">
        <v>2</v>
      </c>
      <c r="G25" s="9"/>
      <c r="H25" s="21">
        <v>0.49</v>
      </c>
      <c r="I25" s="9"/>
      <c r="J25" s="21">
        <v>8.18</v>
      </c>
      <c r="K25" s="9"/>
      <c r="L25" s="21">
        <v>0.02</v>
      </c>
      <c r="M25" s="9"/>
      <c r="N25" s="21">
        <v>0</v>
      </c>
      <c r="O25" s="9"/>
      <c r="P25" s="21">
        <v>0</v>
      </c>
      <c r="Q25" s="9"/>
      <c r="R25" s="21">
        <v>0</v>
      </c>
      <c r="S25" s="9"/>
      <c r="T25" s="21">
        <v>1.3</v>
      </c>
      <c r="U25" s="9"/>
      <c r="V25" s="21">
        <v>12.01</v>
      </c>
      <c r="W25" s="9"/>
      <c r="Z25" s="1"/>
      <c r="AA25" s="1"/>
    </row>
    <row r="26" spans="1:27" x14ac:dyDescent="0.25">
      <c r="A26" s="11"/>
      <c r="B26" s="7"/>
      <c r="C26" s="8">
        <f>(B27-B25)</f>
        <v>41</v>
      </c>
      <c r="D26" s="23" t="s">
        <v>8</v>
      </c>
      <c r="E26" s="9">
        <f>((D25+D27)/2)*$C$26</f>
        <v>0</v>
      </c>
      <c r="F26" s="23" t="s">
        <v>8</v>
      </c>
      <c r="G26" s="9">
        <f>((F25+F27)/2)*$C$26</f>
        <v>80.36</v>
      </c>
      <c r="H26" s="23" t="s">
        <v>8</v>
      </c>
      <c r="I26" s="9">
        <f>((H25+H27)/2)*$C$26</f>
        <v>19.27</v>
      </c>
      <c r="J26" s="23" t="s">
        <v>8</v>
      </c>
      <c r="K26" s="9">
        <f>((J25+J27)/2)*$C$26</f>
        <v>344.81</v>
      </c>
      <c r="L26" s="23" t="s">
        <v>8</v>
      </c>
      <c r="M26" s="9">
        <f>((L25+L27)/2)*$C$26</f>
        <v>0.41000000000000003</v>
      </c>
      <c r="N26" s="23" t="s">
        <v>8</v>
      </c>
      <c r="O26" s="9">
        <f>((N25+N27)/2)*$C$26</f>
        <v>0</v>
      </c>
      <c r="P26" s="23" t="s">
        <v>8</v>
      </c>
      <c r="Q26" s="9">
        <f>((P25+P27)/2)*$C$26</f>
        <v>0</v>
      </c>
      <c r="R26" s="23" t="s">
        <v>8</v>
      </c>
      <c r="S26" s="9">
        <f>((R25+R27)/2)*$C$26</f>
        <v>0</v>
      </c>
      <c r="T26" s="23" t="s">
        <v>8</v>
      </c>
      <c r="U26" s="9">
        <f>((T25+T27)/2)*$C$26</f>
        <v>70.725000000000009</v>
      </c>
      <c r="V26" s="23" t="s">
        <v>8</v>
      </c>
      <c r="W26" s="9">
        <f>((V25+V27)/2)*$C$26</f>
        <v>487.28499999999997</v>
      </c>
      <c r="Z26" s="1"/>
      <c r="AA26" s="1"/>
    </row>
    <row r="27" spans="1:27" x14ac:dyDescent="0.25">
      <c r="A27" s="4">
        <v>11</v>
      </c>
      <c r="B27" s="7">
        <v>236</v>
      </c>
      <c r="C27" s="8"/>
      <c r="D27" s="21">
        <v>0</v>
      </c>
      <c r="E27" s="9"/>
      <c r="F27" s="21">
        <v>1.92</v>
      </c>
      <c r="G27" s="9"/>
      <c r="H27" s="21">
        <v>0.45</v>
      </c>
      <c r="I27" s="9"/>
      <c r="J27" s="21">
        <v>8.64</v>
      </c>
      <c r="K27" s="9"/>
      <c r="L27" s="21">
        <v>0</v>
      </c>
      <c r="M27" s="9"/>
      <c r="N27" s="21">
        <v>0</v>
      </c>
      <c r="O27" s="9"/>
      <c r="P27" s="21">
        <v>0</v>
      </c>
      <c r="Q27" s="9"/>
      <c r="R27" s="21">
        <v>0</v>
      </c>
      <c r="S27" s="9"/>
      <c r="T27" s="21">
        <v>2.15</v>
      </c>
      <c r="U27" s="9"/>
      <c r="V27" s="21">
        <v>11.76</v>
      </c>
      <c r="W27" s="9"/>
      <c r="Z27" s="1"/>
      <c r="AA27" s="1"/>
    </row>
    <row r="28" spans="1:27" x14ac:dyDescent="0.25">
      <c r="A28" s="10"/>
      <c r="B28" s="16"/>
      <c r="C28" s="8">
        <f>(B29-B27)</f>
        <v>44</v>
      </c>
      <c r="D28" s="23"/>
      <c r="E28" s="9">
        <f>((D27+D29)/2)*$C$28</f>
        <v>0</v>
      </c>
      <c r="F28" s="23"/>
      <c r="G28" s="9">
        <f>((F27+F29)/2)*$C$28</f>
        <v>77.22</v>
      </c>
      <c r="H28" s="23"/>
      <c r="I28" s="9">
        <f>((H27+H29)/2)*$C$28</f>
        <v>19.580000000000002</v>
      </c>
      <c r="J28" s="23"/>
      <c r="K28" s="9">
        <f>((J27+J29)/2)*$C$28</f>
        <v>334.18</v>
      </c>
      <c r="L28" s="23"/>
      <c r="M28" s="9">
        <f>((L27+L29)/2)*$C$28</f>
        <v>2.6399999999999997</v>
      </c>
      <c r="N28" s="23"/>
      <c r="O28" s="9">
        <f>((N27+N29)/2)*$C$28</f>
        <v>0</v>
      </c>
      <c r="P28" s="23"/>
      <c r="Q28" s="9">
        <f>((P27+P29)/2)*$C$28</f>
        <v>0</v>
      </c>
      <c r="R28" s="23"/>
      <c r="S28" s="9">
        <f>((R27+R29)/2)*$C$28</f>
        <v>0</v>
      </c>
      <c r="T28" s="23"/>
      <c r="U28" s="9">
        <f>((T27+T29)/2)*$C$28</f>
        <v>125.17999999999999</v>
      </c>
      <c r="V28" s="23"/>
      <c r="W28" s="9">
        <f>((V27+V29)/2)*$C$28</f>
        <v>515.67999999999995</v>
      </c>
      <c r="Z28" s="1"/>
      <c r="AA28" s="1"/>
    </row>
    <row r="29" spans="1:27" x14ac:dyDescent="0.25">
      <c r="A29" s="4">
        <v>12</v>
      </c>
      <c r="B29" s="5">
        <v>280</v>
      </c>
      <c r="C29" s="8"/>
      <c r="D29" s="21">
        <v>0</v>
      </c>
      <c r="E29" s="9"/>
      <c r="F29" s="21">
        <v>1.59</v>
      </c>
      <c r="G29" s="9"/>
      <c r="H29" s="21">
        <v>0.44</v>
      </c>
      <c r="I29" s="9"/>
      <c r="J29" s="21">
        <v>6.55</v>
      </c>
      <c r="K29" s="9"/>
      <c r="L29" s="21">
        <v>0.12</v>
      </c>
      <c r="M29" s="9"/>
      <c r="N29" s="21">
        <v>0</v>
      </c>
      <c r="O29" s="9"/>
      <c r="P29" s="21">
        <v>0</v>
      </c>
      <c r="Q29" s="9"/>
      <c r="R29" s="21">
        <v>0</v>
      </c>
      <c r="S29" s="9"/>
      <c r="T29" s="21">
        <v>3.54</v>
      </c>
      <c r="U29" s="9"/>
      <c r="V29" s="21">
        <v>11.68</v>
      </c>
      <c r="W29" s="9"/>
      <c r="Z29" s="1"/>
      <c r="AA29" s="1"/>
    </row>
    <row r="30" spans="1:27" x14ac:dyDescent="0.25">
      <c r="A30" s="10"/>
      <c r="B30" s="5"/>
      <c r="C30" s="8">
        <f>(B31-B29)</f>
        <v>38.759999999999991</v>
      </c>
      <c r="D30" s="23"/>
      <c r="E30" s="9">
        <f>((D29+D31)/2)*$C$30</f>
        <v>0</v>
      </c>
      <c r="F30" s="23"/>
      <c r="G30" s="9">
        <f>((F29+F31)/2)*$C$30</f>
        <v>77.326199999999986</v>
      </c>
      <c r="H30" s="23"/>
      <c r="I30" s="9">
        <f>((H29+H31)/2)*$C$30</f>
        <v>31.395599999999991</v>
      </c>
      <c r="J30" s="23"/>
      <c r="K30" s="9">
        <f>((J29+J31)/2)*$C$30</f>
        <v>295.93259999999992</v>
      </c>
      <c r="L30" s="23"/>
      <c r="M30" s="9">
        <f>((L29+L31)/2)*$C$30</f>
        <v>2.7131999999999992</v>
      </c>
      <c r="N30" s="23"/>
      <c r="O30" s="9">
        <f>((N29+N31)/2)*$C$30</f>
        <v>0</v>
      </c>
      <c r="P30" s="23"/>
      <c r="Q30" s="9">
        <f>((P29+P31)/2)*$C$30</f>
        <v>0</v>
      </c>
      <c r="R30" s="23"/>
      <c r="S30" s="9">
        <f>((R29+R31)/2)*$C$30</f>
        <v>0</v>
      </c>
      <c r="T30" s="23"/>
      <c r="U30" s="9">
        <f>((T29+T31)/2)*$C$30</f>
        <v>150.58259999999999</v>
      </c>
      <c r="V30" s="23"/>
      <c r="W30" s="9">
        <f>((V29+V31)/2)*$C$30</f>
        <v>461.82539999999983</v>
      </c>
      <c r="Z30" s="1"/>
      <c r="AA30" s="1"/>
    </row>
    <row r="31" spans="1:27" x14ac:dyDescent="0.25">
      <c r="A31" s="4">
        <v>13</v>
      </c>
      <c r="B31" s="5">
        <v>318.76</v>
      </c>
      <c r="C31" s="8"/>
      <c r="D31" s="21">
        <v>0</v>
      </c>
      <c r="E31" s="9"/>
      <c r="F31" s="21">
        <v>2.4</v>
      </c>
      <c r="G31" s="9"/>
      <c r="H31" s="21">
        <v>1.18</v>
      </c>
      <c r="I31" s="9"/>
      <c r="J31" s="21">
        <v>8.7200000000000006</v>
      </c>
      <c r="K31" s="9"/>
      <c r="L31" s="21">
        <v>0.02</v>
      </c>
      <c r="M31" s="9"/>
      <c r="N31" s="21">
        <v>0</v>
      </c>
      <c r="O31" s="9"/>
      <c r="P31" s="21">
        <v>0</v>
      </c>
      <c r="Q31" s="9"/>
      <c r="R31" s="21">
        <v>0</v>
      </c>
      <c r="S31" s="9"/>
      <c r="T31" s="21">
        <v>4.2300000000000004</v>
      </c>
      <c r="U31" s="9"/>
      <c r="V31" s="21">
        <v>12.15</v>
      </c>
      <c r="W31" s="9"/>
      <c r="Z31" s="1"/>
      <c r="AA31" s="1"/>
    </row>
    <row r="32" spans="1:27" x14ac:dyDescent="0.25">
      <c r="A32" s="10"/>
      <c r="B32" s="5"/>
      <c r="C32" s="8">
        <f>(B33-B31)</f>
        <v>13.470000000000027</v>
      </c>
      <c r="D32" s="23"/>
      <c r="E32" s="9">
        <f>((D31+D33)/2)*$C$32</f>
        <v>0</v>
      </c>
      <c r="F32" s="23"/>
      <c r="G32" s="9">
        <f>((F31+F33)/2)*$C$32</f>
        <v>27.815550000000055</v>
      </c>
      <c r="H32" s="23"/>
      <c r="I32" s="9">
        <f>((H31+H33)/2)*$C$32</f>
        <v>12.190350000000025</v>
      </c>
      <c r="J32" s="23"/>
      <c r="K32" s="9">
        <f>((J31+J33)/2)*$C$32</f>
        <v>108.63555000000024</v>
      </c>
      <c r="L32" s="23"/>
      <c r="M32" s="9">
        <f>((L31+L33)/2)*$C$32</f>
        <v>0.13470000000000026</v>
      </c>
      <c r="N32" s="23"/>
      <c r="O32" s="9">
        <f>((N31+N33)/2)*$C$32</f>
        <v>0</v>
      </c>
      <c r="P32" s="23"/>
      <c r="Q32" s="9">
        <f>((P31+P33)/2)*$C$32</f>
        <v>0</v>
      </c>
      <c r="R32" s="23"/>
      <c r="S32" s="9">
        <f>((R31+R33)/2)*$C$32</f>
        <v>0</v>
      </c>
      <c r="T32" s="23"/>
      <c r="U32" s="9">
        <f>((T31+T33)/2)*$C$32</f>
        <v>53.947350000000107</v>
      </c>
      <c r="V32" s="23"/>
      <c r="W32" s="9">
        <f>((V31+V33)/2)*$C$32</f>
        <v>159.35010000000031</v>
      </c>
      <c r="Z32" s="1"/>
      <c r="AA32" s="1"/>
    </row>
    <row r="33" spans="1:27" x14ac:dyDescent="0.25">
      <c r="A33" s="4">
        <v>14</v>
      </c>
      <c r="B33" s="5">
        <v>332.23</v>
      </c>
      <c r="C33" s="8"/>
      <c r="D33" s="21">
        <v>0</v>
      </c>
      <c r="E33" s="9"/>
      <c r="F33" s="21">
        <v>1.73</v>
      </c>
      <c r="G33" s="9"/>
      <c r="H33" s="21">
        <v>0.63</v>
      </c>
      <c r="I33" s="9"/>
      <c r="J33" s="21">
        <v>7.41</v>
      </c>
      <c r="K33" s="9"/>
      <c r="L33" s="21">
        <v>0</v>
      </c>
      <c r="M33" s="9"/>
      <c r="N33" s="21">
        <v>0</v>
      </c>
      <c r="O33" s="9"/>
      <c r="P33" s="21">
        <v>0</v>
      </c>
      <c r="Q33" s="9"/>
      <c r="R33" s="21">
        <v>0</v>
      </c>
      <c r="S33" s="9"/>
      <c r="T33" s="21">
        <v>3.78</v>
      </c>
      <c r="U33" s="9"/>
      <c r="V33" s="21">
        <v>11.51</v>
      </c>
      <c r="W33" s="9"/>
      <c r="Z33" s="1"/>
      <c r="AA33" s="1"/>
    </row>
    <row r="34" spans="1:27" x14ac:dyDescent="0.25">
      <c r="A34" s="10"/>
      <c r="B34" s="5"/>
      <c r="C34" s="8">
        <f>(B35-B33)</f>
        <v>7.7699999999999818</v>
      </c>
      <c r="D34" s="23"/>
      <c r="E34" s="9">
        <f>((D33+D35)/2)*$C$34</f>
        <v>0</v>
      </c>
      <c r="F34" s="23"/>
      <c r="G34" s="9">
        <f>((F33+F35)/2)*$C$34</f>
        <v>11.888099999999973</v>
      </c>
      <c r="H34" s="23"/>
      <c r="I34" s="9">
        <f>((H33+H35)/2)*$C$34</f>
        <v>4.8173999999999886</v>
      </c>
      <c r="J34" s="23"/>
      <c r="K34" s="9">
        <f>((J33+J35)/2)*$C$34</f>
        <v>50.388449999999878</v>
      </c>
      <c r="L34" s="23"/>
      <c r="M34" s="9">
        <f>((L33+L35)/2)*$C$34</f>
        <v>0</v>
      </c>
      <c r="N34" s="23"/>
      <c r="O34" s="9">
        <f>((N33+N35)/2)*$C$34</f>
        <v>0</v>
      </c>
      <c r="P34" s="23"/>
      <c r="Q34" s="9">
        <f>((P33+P35)/2)*$C$34</f>
        <v>0</v>
      </c>
      <c r="R34" s="23"/>
      <c r="S34" s="9">
        <f>((R33+R35)/2)*$C$34</f>
        <v>0</v>
      </c>
      <c r="T34" s="23"/>
      <c r="U34" s="9">
        <f>((T33+T35)/2)*$C$34</f>
        <v>25.213649999999941</v>
      </c>
      <c r="V34" s="23"/>
      <c r="W34" s="9">
        <f>((V33+V35)/2)*$C$34</f>
        <v>81.390749999999812</v>
      </c>
      <c r="Z34" s="1"/>
      <c r="AA34" s="1"/>
    </row>
    <row r="35" spans="1:27" x14ac:dyDescent="0.25">
      <c r="A35" s="4">
        <v>15</v>
      </c>
      <c r="B35" s="5">
        <v>340</v>
      </c>
      <c r="C35" s="8"/>
      <c r="D35" s="21">
        <v>0</v>
      </c>
      <c r="E35" s="9"/>
      <c r="F35" s="21">
        <v>1.33</v>
      </c>
      <c r="G35" s="9"/>
      <c r="H35" s="21">
        <v>0.61</v>
      </c>
      <c r="I35" s="9"/>
      <c r="J35" s="21">
        <v>5.56</v>
      </c>
      <c r="K35" s="9"/>
      <c r="L35" s="21">
        <v>0</v>
      </c>
      <c r="M35" s="9"/>
      <c r="N35" s="21">
        <v>0</v>
      </c>
      <c r="O35" s="9"/>
      <c r="P35" s="21">
        <v>0</v>
      </c>
      <c r="Q35" s="9"/>
      <c r="R35" s="21">
        <v>0</v>
      </c>
      <c r="S35" s="9"/>
      <c r="T35" s="21">
        <v>2.71</v>
      </c>
      <c r="U35" s="9"/>
      <c r="V35" s="21">
        <v>9.44</v>
      </c>
      <c r="W35" s="9"/>
      <c r="Z35" s="1"/>
      <c r="AA35" s="1"/>
    </row>
    <row r="36" spans="1:27" x14ac:dyDescent="0.25">
      <c r="A36" s="10"/>
      <c r="B36" s="5"/>
      <c r="C36" s="8">
        <f>(B37-B35)</f>
        <v>9.2200000000000273</v>
      </c>
      <c r="D36" s="23"/>
      <c r="E36" s="9">
        <f>((D35+D37)/2)*$C$36</f>
        <v>0</v>
      </c>
      <c r="F36" s="23"/>
      <c r="G36" s="9">
        <f>((F35+F37)/2)*$C$36</f>
        <v>6.1313000000000182</v>
      </c>
      <c r="H36" s="23"/>
      <c r="I36" s="9">
        <f>((H35+H37)/2)*$C$36</f>
        <v>2.8121000000000085</v>
      </c>
      <c r="J36" s="23"/>
      <c r="K36" s="9">
        <f>((J35+J37)/2)*$C$36</f>
        <v>25.631600000000073</v>
      </c>
      <c r="L36" s="23"/>
      <c r="M36" s="9">
        <f>((L35+L37)/2)*$C$36</f>
        <v>0</v>
      </c>
      <c r="N36" s="23"/>
      <c r="O36" s="9">
        <f>((N35+N37)/2)*$C$36</f>
        <v>0</v>
      </c>
      <c r="P36" s="23"/>
      <c r="Q36" s="9">
        <f>((P35+P37)/2)*$C$36</f>
        <v>0</v>
      </c>
      <c r="R36" s="23"/>
      <c r="S36" s="9">
        <f>((R35+R37)/2)*$C$36</f>
        <v>0</v>
      </c>
      <c r="T36" s="23"/>
      <c r="U36" s="9">
        <f>((T35+T37)/2)*$C$36</f>
        <v>12.493100000000037</v>
      </c>
      <c r="V36" s="23"/>
      <c r="W36" s="9">
        <f>((V35+V37)/2)*$C$36</f>
        <v>87.036800000000255</v>
      </c>
      <c r="Z36" s="1"/>
      <c r="AA36" s="1"/>
    </row>
    <row r="37" spans="1:27" ht="15.75" thickBot="1" x14ac:dyDescent="0.3">
      <c r="A37" s="10" t="s">
        <v>16</v>
      </c>
      <c r="B37" s="5">
        <v>349.22</v>
      </c>
      <c r="C37" s="12"/>
      <c r="D37" s="21">
        <v>0</v>
      </c>
      <c r="E37" s="24"/>
      <c r="F37" s="21">
        <v>0</v>
      </c>
      <c r="G37" s="24"/>
      <c r="H37" s="21">
        <v>0</v>
      </c>
      <c r="I37" s="24"/>
      <c r="J37" s="21">
        <v>0</v>
      </c>
      <c r="K37" s="24"/>
      <c r="L37" s="21">
        <v>0</v>
      </c>
      <c r="M37" s="24"/>
      <c r="N37" s="21">
        <v>0</v>
      </c>
      <c r="O37" s="24"/>
      <c r="P37" s="21">
        <v>0</v>
      </c>
      <c r="Q37" s="24"/>
      <c r="R37" s="21">
        <v>0</v>
      </c>
      <c r="S37" s="24"/>
      <c r="T37" s="21">
        <v>0</v>
      </c>
      <c r="U37" s="24"/>
      <c r="V37" s="21">
        <v>9.44</v>
      </c>
      <c r="W37" s="24"/>
      <c r="Z37" s="1"/>
      <c r="AA37" s="1"/>
    </row>
    <row r="38" spans="1:27" ht="15" customHeight="1" x14ac:dyDescent="0.25">
      <c r="A38" s="68" t="s">
        <v>9</v>
      </c>
      <c r="B38" s="69"/>
      <c r="C38" s="69"/>
      <c r="D38" s="13"/>
      <c r="E38" s="72">
        <f>SUM(E5:E37)</f>
        <v>164.2595</v>
      </c>
      <c r="F38" s="13"/>
      <c r="G38" s="72">
        <f>SUM(G5:G37)</f>
        <v>353.09114999999997</v>
      </c>
      <c r="H38" s="13"/>
      <c r="I38" s="72">
        <f>SUM(I5:I37)</f>
        <v>120.46545000000002</v>
      </c>
      <c r="J38" s="13"/>
      <c r="K38" s="74">
        <f>SUM(K5:K37)</f>
        <v>1689.2388000000001</v>
      </c>
      <c r="L38" s="13"/>
      <c r="M38" s="72">
        <f>SUM(M5:M37)</f>
        <v>17.947900000000001</v>
      </c>
      <c r="N38" s="13"/>
      <c r="O38" s="72">
        <f>SUM(O5:O37)</f>
        <v>24.062650000000001</v>
      </c>
      <c r="P38" s="13"/>
      <c r="Q38" s="72">
        <f>SUM(Q5:Q37)</f>
        <v>94.396000000000001</v>
      </c>
      <c r="R38" s="13"/>
      <c r="S38" s="74">
        <f>SUM(S5:S37)</f>
        <v>16.404649999999997</v>
      </c>
      <c r="T38" s="13"/>
      <c r="U38" s="72">
        <f>SUM(U5:U37)</f>
        <v>508.77270000000004</v>
      </c>
      <c r="V38" s="13"/>
      <c r="W38" s="74">
        <f>SUM(W5:W37)</f>
        <v>2571.4873499999999</v>
      </c>
      <c r="Z38" s="1"/>
      <c r="AA38" s="1"/>
    </row>
    <row r="39" spans="1:27" ht="15.75" customHeight="1" thickBot="1" x14ac:dyDescent="0.3">
      <c r="A39" s="70"/>
      <c r="B39" s="71"/>
      <c r="C39" s="71"/>
      <c r="D39" s="14"/>
      <c r="E39" s="73"/>
      <c r="F39" s="14"/>
      <c r="G39" s="73"/>
      <c r="H39" s="14"/>
      <c r="I39" s="73"/>
      <c r="J39" s="14"/>
      <c r="K39" s="75"/>
      <c r="L39" s="14"/>
      <c r="M39" s="73"/>
      <c r="N39" s="14"/>
      <c r="O39" s="73"/>
      <c r="P39" s="14"/>
      <c r="Q39" s="73"/>
      <c r="R39" s="14"/>
      <c r="S39" s="75"/>
      <c r="T39" s="14"/>
      <c r="U39" s="73"/>
      <c r="V39" s="14"/>
      <c r="W39" s="75"/>
      <c r="Z39" s="1"/>
      <c r="AA39" s="1"/>
    </row>
    <row r="41" spans="1:27" x14ac:dyDescent="0.25">
      <c r="A41"/>
      <c r="B41"/>
      <c r="E41" s="15">
        <f>E38</f>
        <v>164.2595</v>
      </c>
      <c r="F41" s="15"/>
      <c r="G41" s="15">
        <f>G38</f>
        <v>353.09114999999997</v>
      </c>
      <c r="H41" s="15"/>
      <c r="I41" s="15">
        <f>I38</f>
        <v>120.46545000000002</v>
      </c>
      <c r="J41" s="15"/>
      <c r="K41" s="15">
        <f>-1*K38</f>
        <v>-1689.2388000000001</v>
      </c>
      <c r="L41" s="15"/>
      <c r="M41" s="15">
        <f>-1*M38</f>
        <v>-17.947900000000001</v>
      </c>
      <c r="N41" s="15"/>
      <c r="O41" s="15"/>
      <c r="P41" s="15"/>
      <c r="Q41" s="15"/>
      <c r="R41" s="15"/>
      <c r="S41" s="15"/>
      <c r="T41" s="15"/>
      <c r="U41" s="15">
        <f>-1*U38</f>
        <v>-508.77270000000004</v>
      </c>
      <c r="V41" s="15"/>
      <c r="W41" s="15"/>
    </row>
    <row r="42" spans="1:27" x14ac:dyDescent="0.25">
      <c r="A42" t="s">
        <v>40</v>
      </c>
      <c r="B42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pans="1:27" x14ac:dyDescent="0.25">
      <c r="A43" t="s">
        <v>34</v>
      </c>
      <c r="B43"/>
      <c r="F43" s="15"/>
      <c r="G43" s="31">
        <f>E41+G41+U41</f>
        <v>8.5779499999999302</v>
      </c>
      <c r="H43" s="27" t="s">
        <v>22</v>
      </c>
      <c r="I43" s="38" t="s">
        <v>41</v>
      </c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pans="1:27" x14ac:dyDescent="0.25">
      <c r="A44" t="s">
        <v>35</v>
      </c>
      <c r="G44" s="15">
        <f>I41+M41</f>
        <v>102.51755000000001</v>
      </c>
      <c r="H44" s="27" t="s">
        <v>22</v>
      </c>
      <c r="I44" s="38" t="s">
        <v>41</v>
      </c>
      <c r="K44" s="26"/>
    </row>
    <row r="45" spans="1:27" x14ac:dyDescent="0.25">
      <c r="A45"/>
      <c r="G45" s="15"/>
      <c r="H45" s="27"/>
      <c r="K45" s="26"/>
    </row>
    <row r="48" spans="1:27" x14ac:dyDescent="0.25">
      <c r="A48"/>
      <c r="G48" s="15"/>
      <c r="H48" s="27"/>
      <c r="K48" s="26"/>
    </row>
    <row r="49" spans="1:14" x14ac:dyDescent="0.25">
      <c r="A49" s="25"/>
      <c r="H49" s="27"/>
      <c r="N49" s="15"/>
    </row>
    <row r="83" spans="1:14" x14ac:dyDescent="0.25">
      <c r="A83" s="28"/>
      <c r="N83" s="15"/>
    </row>
    <row r="84" spans="1:14" x14ac:dyDescent="0.25">
      <c r="A84" s="28"/>
      <c r="N84" s="15"/>
    </row>
    <row r="85" spans="1:14" x14ac:dyDescent="0.25">
      <c r="A85" s="28"/>
      <c r="N85" s="15"/>
    </row>
    <row r="86" spans="1:14" x14ac:dyDescent="0.25">
      <c r="A86" s="28"/>
      <c r="N86" s="15"/>
    </row>
    <row r="87" spans="1:14" x14ac:dyDescent="0.25">
      <c r="A87" s="28"/>
      <c r="N87" s="15"/>
    </row>
    <row r="88" spans="1:14" x14ac:dyDescent="0.25">
      <c r="A88" s="28"/>
      <c r="N88" s="15"/>
    </row>
    <row r="89" spans="1:14" x14ac:dyDescent="0.25">
      <c r="A89" s="28"/>
      <c r="N89" s="15"/>
    </row>
    <row r="90" spans="1:14" x14ac:dyDescent="0.25">
      <c r="A90" s="28"/>
      <c r="N90" s="15"/>
    </row>
    <row r="91" spans="1:14" x14ac:dyDescent="0.25">
      <c r="N91" s="15"/>
    </row>
    <row r="92" spans="1:14" x14ac:dyDescent="0.25">
      <c r="N92" s="15"/>
    </row>
    <row r="93" spans="1:14" x14ac:dyDescent="0.25">
      <c r="N93" s="15"/>
    </row>
    <row r="94" spans="1:14" x14ac:dyDescent="0.25">
      <c r="N94" s="15"/>
    </row>
    <row r="95" spans="1:14" x14ac:dyDescent="0.25">
      <c r="N95" s="15"/>
    </row>
    <row r="96" spans="1:14" x14ac:dyDescent="0.25">
      <c r="N96" s="15"/>
    </row>
    <row r="97" spans="14:14" x14ac:dyDescent="0.25">
      <c r="N97" s="15"/>
    </row>
    <row r="98" spans="14:14" x14ac:dyDescent="0.25">
      <c r="N98" s="15"/>
    </row>
    <row r="99" spans="14:14" x14ac:dyDescent="0.25">
      <c r="N99" s="15"/>
    </row>
    <row r="100" spans="14:14" x14ac:dyDescent="0.25">
      <c r="N100" s="15"/>
    </row>
    <row r="101" spans="14:14" x14ac:dyDescent="0.25">
      <c r="N101" s="15"/>
    </row>
    <row r="102" spans="14:14" x14ac:dyDescent="0.25">
      <c r="N102" s="15"/>
    </row>
    <row r="103" spans="14:14" x14ac:dyDescent="0.25">
      <c r="N103" s="15"/>
    </row>
    <row r="104" spans="14:14" x14ac:dyDescent="0.25">
      <c r="N104" s="15"/>
    </row>
    <row r="105" spans="14:14" x14ac:dyDescent="0.25">
      <c r="N105" s="15"/>
    </row>
    <row r="106" spans="14:14" x14ac:dyDescent="0.25">
      <c r="N106" s="15"/>
    </row>
    <row r="107" spans="14:14" x14ac:dyDescent="0.25">
      <c r="N107" s="15"/>
    </row>
    <row r="108" spans="14:14" x14ac:dyDescent="0.25">
      <c r="N108" s="15"/>
    </row>
    <row r="109" spans="14:14" x14ac:dyDescent="0.25">
      <c r="N109" s="15"/>
    </row>
    <row r="110" spans="14:14" x14ac:dyDescent="0.25">
      <c r="N110" s="15"/>
    </row>
    <row r="111" spans="14:14" x14ac:dyDescent="0.25">
      <c r="N111" s="15"/>
    </row>
    <row r="112" spans="14:14" x14ac:dyDescent="0.25">
      <c r="N112" s="15"/>
    </row>
    <row r="113" spans="14:14" x14ac:dyDescent="0.25">
      <c r="N113" s="15"/>
    </row>
    <row r="114" spans="14:14" x14ac:dyDescent="0.25">
      <c r="N114" s="15"/>
    </row>
    <row r="115" spans="14:14" x14ac:dyDescent="0.25">
      <c r="N115" s="15"/>
    </row>
    <row r="116" spans="14:14" x14ac:dyDescent="0.25">
      <c r="N116" s="15"/>
    </row>
    <row r="117" spans="14:14" x14ac:dyDescent="0.25">
      <c r="N117" s="15"/>
    </row>
    <row r="118" spans="14:14" x14ac:dyDescent="0.25">
      <c r="N118" s="15"/>
    </row>
    <row r="119" spans="14:14" x14ac:dyDescent="0.25">
      <c r="N119" s="15"/>
    </row>
    <row r="120" spans="14:14" x14ac:dyDescent="0.25">
      <c r="N120" s="15"/>
    </row>
    <row r="121" spans="14:14" x14ac:dyDescent="0.25">
      <c r="N121" s="15"/>
    </row>
    <row r="122" spans="14:14" x14ac:dyDescent="0.25">
      <c r="N122" s="15"/>
    </row>
    <row r="123" spans="14:14" x14ac:dyDescent="0.25">
      <c r="N123" s="15"/>
    </row>
    <row r="124" spans="14:14" x14ac:dyDescent="0.25">
      <c r="N124" s="15"/>
    </row>
    <row r="125" spans="14:14" x14ac:dyDescent="0.25">
      <c r="N125" s="15"/>
    </row>
    <row r="126" spans="14:14" x14ac:dyDescent="0.25">
      <c r="N126" s="15"/>
    </row>
    <row r="127" spans="14:14" x14ac:dyDescent="0.25">
      <c r="N127" s="15"/>
    </row>
    <row r="128" spans="14:14" x14ac:dyDescent="0.25">
      <c r="N128" s="15"/>
    </row>
    <row r="129" spans="14:14" x14ac:dyDescent="0.25">
      <c r="N129" s="15"/>
    </row>
    <row r="130" spans="14:14" x14ac:dyDescent="0.25">
      <c r="N130" s="15"/>
    </row>
    <row r="131" spans="14:14" x14ac:dyDescent="0.25">
      <c r="N131" s="15"/>
    </row>
    <row r="132" spans="14:14" x14ac:dyDescent="0.25">
      <c r="N132" s="15"/>
    </row>
    <row r="133" spans="14:14" x14ac:dyDescent="0.25">
      <c r="N133" s="15"/>
    </row>
    <row r="134" spans="14:14" x14ac:dyDescent="0.25">
      <c r="N134" s="15"/>
    </row>
  </sheetData>
  <mergeCells count="25">
    <mergeCell ref="J2:K2"/>
    <mergeCell ref="K38:K39"/>
    <mergeCell ref="H2:I2"/>
    <mergeCell ref="I38:I39"/>
    <mergeCell ref="Q38:Q39"/>
    <mergeCell ref="N2:O2"/>
    <mergeCell ref="O38:O39"/>
    <mergeCell ref="L2:M2"/>
    <mergeCell ref="M38:M39"/>
    <mergeCell ref="A1:W1"/>
    <mergeCell ref="A38:C39"/>
    <mergeCell ref="E38:E39"/>
    <mergeCell ref="W38:W39"/>
    <mergeCell ref="F2:G2"/>
    <mergeCell ref="G38:G39"/>
    <mergeCell ref="U38:U39"/>
    <mergeCell ref="T2:U2"/>
    <mergeCell ref="A2:A4"/>
    <mergeCell ref="B2:B3"/>
    <mergeCell ref="C2:C3"/>
    <mergeCell ref="D2:E2"/>
    <mergeCell ref="V2:W2"/>
    <mergeCell ref="R2:S2"/>
    <mergeCell ref="S38:S39"/>
    <mergeCell ref="P2:Q2"/>
  </mergeCells>
  <printOptions horizontalCentered="1" verticalCentered="1"/>
  <pageMargins left="0.39370078740157483" right="0.39370078740157483" top="1.1811023622047245" bottom="0.39370078740157483" header="0.31496062992125984" footer="0.31496062992125984"/>
  <pageSetup paperSize="8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workbookViewId="0">
      <selection activeCell="S21" sqref="S21"/>
    </sheetView>
  </sheetViews>
  <sheetFormatPr defaultRowHeight="15" x14ac:dyDescent="0.25"/>
  <cols>
    <col min="11" max="11" width="10.5703125" customWidth="1"/>
    <col min="13" max="13" width="11.85546875" bestFit="1" customWidth="1"/>
    <col min="15" max="15" width="18.28515625" style="48" customWidth="1"/>
  </cols>
  <sheetData>
    <row r="1" spans="1:26" x14ac:dyDescent="0.25">
      <c r="A1" s="41" t="s">
        <v>58</v>
      </c>
    </row>
    <row r="3" spans="1:26" s="1" customFormat="1" x14ac:dyDescent="0.25">
      <c r="A3" s="25" t="s">
        <v>49</v>
      </c>
      <c r="H3" s="27"/>
      <c r="L3" s="1" t="s">
        <v>22</v>
      </c>
      <c r="M3" s="15">
        <f>'Hmotová tabulka'!G41</f>
        <v>353.09114999999997</v>
      </c>
      <c r="N3" s="1" t="s">
        <v>47</v>
      </c>
      <c r="O3" s="49"/>
      <c r="Y3"/>
      <c r="Z3"/>
    </row>
    <row r="4" spans="1:26" s="1" customFormat="1" x14ac:dyDescent="0.25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 t="s">
        <v>23</v>
      </c>
      <c r="M4" s="30">
        <v>1832</v>
      </c>
      <c r="N4" s="29" t="s">
        <v>46</v>
      </c>
      <c r="O4" s="49"/>
      <c r="P4" s="29"/>
      <c r="Q4" s="29"/>
      <c r="R4" s="29"/>
      <c r="Y4"/>
      <c r="Z4"/>
    </row>
    <row r="5" spans="1:26" ht="36.75" x14ac:dyDescent="0.25">
      <c r="A5" t="s">
        <v>48</v>
      </c>
      <c r="L5" s="1" t="s">
        <v>22</v>
      </c>
      <c r="M5">
        <v>504.83</v>
      </c>
      <c r="N5" s="1" t="s">
        <v>47</v>
      </c>
      <c r="O5" s="50" t="s">
        <v>52</v>
      </c>
    </row>
    <row r="6" spans="1:26" x14ac:dyDescent="0.25">
      <c r="I6" t="s">
        <v>56</v>
      </c>
      <c r="L6" s="29" t="s">
        <v>23</v>
      </c>
      <c r="M6">
        <f>4420</f>
        <v>4420</v>
      </c>
      <c r="N6" s="29" t="s">
        <v>46</v>
      </c>
    </row>
    <row r="7" spans="1:26" x14ac:dyDescent="0.25">
      <c r="I7" t="s">
        <v>57</v>
      </c>
      <c r="L7" s="29" t="s">
        <v>23</v>
      </c>
      <c r="M7">
        <f>605+139</f>
        <v>744</v>
      </c>
      <c r="N7" s="1" t="s">
        <v>47</v>
      </c>
    </row>
    <row r="8" spans="1:26" x14ac:dyDescent="0.25">
      <c r="A8" t="s">
        <v>51</v>
      </c>
      <c r="L8" s="1" t="s">
        <v>22</v>
      </c>
      <c r="M8" s="39">
        <f>'Hmotová tabulka'!I41</f>
        <v>120.46545000000002</v>
      </c>
      <c r="N8" s="1" t="s">
        <v>47</v>
      </c>
    </row>
    <row r="9" spans="1:26" x14ac:dyDescent="0.25">
      <c r="L9" s="1"/>
      <c r="M9" s="39"/>
      <c r="N9" s="1"/>
    </row>
    <row r="10" spans="1:26" x14ac:dyDescent="0.25">
      <c r="A10" t="s">
        <v>92</v>
      </c>
      <c r="L10" s="1" t="s">
        <v>23</v>
      </c>
      <c r="M10" s="39">
        <v>1472.08</v>
      </c>
      <c r="N10" s="1" t="s">
        <v>47</v>
      </c>
    </row>
    <row r="12" spans="1:26" x14ac:dyDescent="0.25">
      <c r="A12" t="s">
        <v>50</v>
      </c>
      <c r="L12" s="1" t="s">
        <v>22</v>
      </c>
      <c r="M12" s="39">
        <f>-1*'Hmotová tabulka'!M41</f>
        <v>17.947900000000001</v>
      </c>
      <c r="N12" s="1" t="s">
        <v>47</v>
      </c>
    </row>
    <row r="14" spans="1:26" x14ac:dyDescent="0.25">
      <c r="A14" t="s">
        <v>53</v>
      </c>
      <c r="L14" s="1" t="s">
        <v>22</v>
      </c>
      <c r="M14" s="39">
        <f>'Hmotová tabulka'!G44</f>
        <v>102.51755000000001</v>
      </c>
      <c r="N14" s="1" t="s">
        <v>47</v>
      </c>
    </row>
    <row r="16" spans="1:26" x14ac:dyDescent="0.25">
      <c r="A16" t="s">
        <v>54</v>
      </c>
      <c r="L16" s="1" t="s">
        <v>22</v>
      </c>
      <c r="M16" s="39">
        <f>M14</f>
        <v>102.51755000000001</v>
      </c>
      <c r="N16" s="1" t="s">
        <v>47</v>
      </c>
    </row>
    <row r="18" spans="1:15" x14ac:dyDescent="0.25">
      <c r="A18" t="s">
        <v>55</v>
      </c>
      <c r="L18" t="s">
        <v>23</v>
      </c>
      <c r="M18">
        <f>190*2</f>
        <v>380</v>
      </c>
      <c r="N18" s="29" t="s">
        <v>46</v>
      </c>
    </row>
    <row r="23" spans="1:15" x14ac:dyDescent="0.25">
      <c r="A23" s="41" t="s">
        <v>59</v>
      </c>
    </row>
    <row r="25" spans="1:15" ht="48.75" x14ac:dyDescent="0.25">
      <c r="A25" t="s">
        <v>64</v>
      </c>
      <c r="L25" t="s">
        <v>60</v>
      </c>
      <c r="M25">
        <v>2</v>
      </c>
      <c r="N25" t="s">
        <v>61</v>
      </c>
      <c r="O25" s="50" t="s">
        <v>62</v>
      </c>
    </row>
    <row r="27" spans="1:15" ht="36.75" x14ac:dyDescent="0.25">
      <c r="A27" t="s">
        <v>65</v>
      </c>
      <c r="L27" t="s">
        <v>60</v>
      </c>
      <c r="M27">
        <v>1</v>
      </c>
      <c r="N27" t="s">
        <v>61</v>
      </c>
      <c r="O27" s="50" t="s">
        <v>63</v>
      </c>
    </row>
    <row r="29" spans="1:15" x14ac:dyDescent="0.25">
      <c r="A29" t="s">
        <v>67</v>
      </c>
      <c r="L29" t="s">
        <v>17</v>
      </c>
      <c r="M29">
        <v>2</v>
      </c>
      <c r="N29" t="s">
        <v>61</v>
      </c>
      <c r="O29" s="50" t="s">
        <v>66</v>
      </c>
    </row>
    <row r="31" spans="1:15" x14ac:dyDescent="0.25">
      <c r="A31" t="s">
        <v>70</v>
      </c>
      <c r="L31" t="s">
        <v>22</v>
      </c>
      <c r="M31">
        <f>5.82*4.5</f>
        <v>26.19</v>
      </c>
      <c r="N31" t="s">
        <v>61</v>
      </c>
    </row>
    <row r="32" spans="1:15" x14ac:dyDescent="0.25">
      <c r="A32" t="s">
        <v>69</v>
      </c>
      <c r="L32" t="s">
        <v>22</v>
      </c>
      <c r="M32">
        <f>M31</f>
        <v>26.19</v>
      </c>
      <c r="N32" t="s">
        <v>61</v>
      </c>
    </row>
    <row r="34" spans="1:14" x14ac:dyDescent="0.25">
      <c r="A34" t="s">
        <v>71</v>
      </c>
      <c r="L34" t="s">
        <v>22</v>
      </c>
      <c r="M34">
        <f>0.75*4</f>
        <v>3</v>
      </c>
      <c r="N34" t="s">
        <v>61</v>
      </c>
    </row>
    <row r="35" spans="1:14" x14ac:dyDescent="0.25">
      <c r="A35" t="s">
        <v>75</v>
      </c>
      <c r="L35" t="s">
        <v>22</v>
      </c>
      <c r="M35">
        <f>0.53*4</f>
        <v>2.12</v>
      </c>
      <c r="N35" t="s">
        <v>61</v>
      </c>
    </row>
    <row r="36" spans="1:14" x14ac:dyDescent="0.25">
      <c r="A36" t="s">
        <v>69</v>
      </c>
      <c r="L36" t="s">
        <v>22</v>
      </c>
      <c r="M36">
        <f>M34-M35</f>
        <v>0.87999999999999989</v>
      </c>
      <c r="N36" t="s">
        <v>61</v>
      </c>
    </row>
    <row r="38" spans="1:14" x14ac:dyDescent="0.25">
      <c r="A38" t="s">
        <v>85</v>
      </c>
      <c r="L38" t="s">
        <v>23</v>
      </c>
      <c r="M38">
        <f>1.19*4.2</f>
        <v>4.9980000000000002</v>
      </c>
      <c r="N38" t="s">
        <v>61</v>
      </c>
    </row>
    <row r="39" spans="1:14" x14ac:dyDescent="0.25">
      <c r="A39" t="s">
        <v>72</v>
      </c>
      <c r="L39" t="s">
        <v>22</v>
      </c>
      <c r="M39">
        <f>0.12*4.2</f>
        <v>0.504</v>
      </c>
      <c r="N39" t="s">
        <v>61</v>
      </c>
    </row>
    <row r="40" spans="1:14" x14ac:dyDescent="0.25">
      <c r="A40" t="s">
        <v>68</v>
      </c>
      <c r="L40" t="s">
        <v>22</v>
      </c>
      <c r="M40">
        <f>0.37*4.2</f>
        <v>1.554</v>
      </c>
      <c r="N40" t="s">
        <v>61</v>
      </c>
    </row>
    <row r="41" spans="1:14" x14ac:dyDescent="0.25">
      <c r="A41" t="s">
        <v>74</v>
      </c>
      <c r="L41" t="s">
        <v>23</v>
      </c>
      <c r="M41">
        <f>(1.5+0.8)*4.06</f>
        <v>9.3379999999999992</v>
      </c>
      <c r="N41" t="s">
        <v>61</v>
      </c>
    </row>
    <row r="43" spans="1:14" x14ac:dyDescent="0.25">
      <c r="A43" t="s">
        <v>73</v>
      </c>
      <c r="L43" t="s">
        <v>22</v>
      </c>
      <c r="M43">
        <f>0.31*3.4</f>
        <v>1.054</v>
      </c>
      <c r="N43" t="s">
        <v>61</v>
      </c>
    </row>
    <row r="45" spans="1:14" x14ac:dyDescent="0.25">
      <c r="A45" t="s">
        <v>77</v>
      </c>
      <c r="L45" t="s">
        <v>23</v>
      </c>
      <c r="M45">
        <f>17.12*2</f>
        <v>34.24</v>
      </c>
      <c r="N45" t="s">
        <v>61</v>
      </c>
    </row>
    <row r="46" spans="1:14" x14ac:dyDescent="0.25">
      <c r="A46" t="s">
        <v>76</v>
      </c>
      <c r="L46" t="s">
        <v>22</v>
      </c>
      <c r="M46">
        <f>2.16*3.4</f>
        <v>7.3440000000000003</v>
      </c>
      <c r="N46" t="s">
        <v>61</v>
      </c>
    </row>
    <row r="47" spans="1:14" x14ac:dyDescent="0.25">
      <c r="A47" t="s">
        <v>78</v>
      </c>
      <c r="L47" t="s">
        <v>22</v>
      </c>
      <c r="M47">
        <f>1.09*3.4</f>
        <v>3.706</v>
      </c>
      <c r="N47" t="s">
        <v>61</v>
      </c>
    </row>
    <row r="49" spans="1:15" x14ac:dyDescent="0.25">
      <c r="A49" t="s">
        <v>79</v>
      </c>
      <c r="L49" t="s">
        <v>22</v>
      </c>
      <c r="M49">
        <f>0.1*1</f>
        <v>0.1</v>
      </c>
      <c r="N49" t="s">
        <v>61</v>
      </c>
    </row>
    <row r="50" spans="1:15" x14ac:dyDescent="0.25">
      <c r="A50" t="s">
        <v>80</v>
      </c>
      <c r="L50" t="s">
        <v>23</v>
      </c>
      <c r="M50">
        <f>1.12*2.9</f>
        <v>3.2480000000000002</v>
      </c>
      <c r="N50" t="s">
        <v>61</v>
      </c>
    </row>
    <row r="51" spans="1:15" x14ac:dyDescent="0.25">
      <c r="A51" t="s">
        <v>81</v>
      </c>
      <c r="L51" t="s">
        <v>23</v>
      </c>
      <c r="M51">
        <v>10</v>
      </c>
      <c r="N51" s="29" t="s">
        <v>46</v>
      </c>
    </row>
    <row r="53" spans="1:15" x14ac:dyDescent="0.25">
      <c r="A53" t="s">
        <v>82</v>
      </c>
      <c r="L53" t="s">
        <v>23</v>
      </c>
      <c r="M53">
        <f>1.94*1.2</f>
        <v>2.3279999999999998</v>
      </c>
      <c r="N53" t="s">
        <v>61</v>
      </c>
    </row>
    <row r="54" spans="1:15" x14ac:dyDescent="0.25">
      <c r="A54" t="s">
        <v>83</v>
      </c>
      <c r="L54" t="s">
        <v>23</v>
      </c>
      <c r="M54">
        <f>0.39*2*2</f>
        <v>1.56</v>
      </c>
      <c r="N54" s="29" t="s">
        <v>46</v>
      </c>
    </row>
    <row r="56" spans="1:15" s="42" customFormat="1" x14ac:dyDescent="0.25">
      <c r="A56" s="42" t="s">
        <v>84</v>
      </c>
      <c r="L56" t="s">
        <v>22</v>
      </c>
      <c r="M56">
        <f>1.52*0.3*2</f>
        <v>0.91199999999999992</v>
      </c>
      <c r="N56" t="s">
        <v>61</v>
      </c>
      <c r="O56" s="48"/>
    </row>
    <row r="57" spans="1:15" x14ac:dyDescent="0.25">
      <c r="L57" t="s">
        <v>23</v>
      </c>
      <c r="M57">
        <f>1.52*2</f>
        <v>3.04</v>
      </c>
      <c r="N57" t="s">
        <v>61</v>
      </c>
    </row>
    <row r="59" spans="1:15" x14ac:dyDescent="0.25">
      <c r="A59" t="s">
        <v>86</v>
      </c>
      <c r="L59" t="s">
        <v>23</v>
      </c>
      <c r="M59">
        <v>2490</v>
      </c>
      <c r="N59" s="29" t="s">
        <v>46</v>
      </c>
    </row>
    <row r="61" spans="1:15" x14ac:dyDescent="0.25">
      <c r="A61" t="s">
        <v>87</v>
      </c>
      <c r="L61" t="s">
        <v>88</v>
      </c>
      <c r="M61">
        <f>M59*0.008</f>
        <v>19.920000000000002</v>
      </c>
      <c r="N61" t="s">
        <v>89</v>
      </c>
      <c r="O61" s="48" t="s">
        <v>90</v>
      </c>
    </row>
  </sheetData>
  <pageMargins left="0.70866141732283472" right="0.70866141732283472" top="0.78740157480314965" bottom="0.78740157480314965" header="0.31496062992125984" footer="0.31496062992125984"/>
  <pageSetup paperSize="9" scale="55" orientation="portrait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workbookViewId="0">
      <selection activeCell="P78" sqref="P78"/>
    </sheetView>
  </sheetViews>
  <sheetFormatPr defaultRowHeight="15" x14ac:dyDescent="0.25"/>
  <cols>
    <col min="11" max="11" width="13.28515625" customWidth="1"/>
    <col min="13" max="13" width="11.85546875" bestFit="1" customWidth="1"/>
    <col min="15" max="15" width="9.140625" style="44"/>
  </cols>
  <sheetData>
    <row r="1" spans="1:26" s="55" customFormat="1" x14ac:dyDescent="0.25">
      <c r="A1" s="56" t="s">
        <v>91</v>
      </c>
      <c r="O1" s="57"/>
    </row>
    <row r="3" spans="1:26" s="1" customFormat="1" x14ac:dyDescent="0.25">
      <c r="A3" s="25" t="s">
        <v>42</v>
      </c>
      <c r="H3" s="27"/>
      <c r="L3" s="1" t="s">
        <v>17</v>
      </c>
      <c r="M3" s="15">
        <v>9</v>
      </c>
      <c r="N3" s="29" t="s">
        <v>46</v>
      </c>
      <c r="O3" s="45"/>
      <c r="Y3"/>
      <c r="Z3"/>
    </row>
    <row r="4" spans="1:26" s="1" customFormat="1" x14ac:dyDescent="0.25">
      <c r="A4" s="25" t="s">
        <v>93</v>
      </c>
      <c r="H4" s="27"/>
      <c r="L4" s="1" t="s">
        <v>22</v>
      </c>
      <c r="M4" s="15">
        <f>'Hmotová tabulka'!E41</f>
        <v>164.2595</v>
      </c>
      <c r="N4" s="1" t="s">
        <v>47</v>
      </c>
      <c r="O4" s="45"/>
      <c r="Y4"/>
      <c r="Z4"/>
    </row>
    <row r="5" spans="1:26" x14ac:dyDescent="0.25">
      <c r="A5" t="s">
        <v>94</v>
      </c>
      <c r="L5" s="1" t="s">
        <v>23</v>
      </c>
      <c r="M5" s="39">
        <v>217.16</v>
      </c>
      <c r="N5" s="1" t="s">
        <v>47</v>
      </c>
    </row>
    <row r="6" spans="1:26" x14ac:dyDescent="0.25">
      <c r="A6" t="s">
        <v>99</v>
      </c>
      <c r="L6" s="1" t="s">
        <v>22</v>
      </c>
      <c r="M6" s="39">
        <v>24.06</v>
      </c>
      <c r="N6" s="1" t="s">
        <v>47</v>
      </c>
    </row>
    <row r="7" spans="1:26" x14ac:dyDescent="0.25">
      <c r="A7" t="s">
        <v>95</v>
      </c>
      <c r="L7" s="1" t="s">
        <v>22</v>
      </c>
      <c r="M7" s="39">
        <v>16.399999999999999</v>
      </c>
      <c r="N7" s="1" t="s">
        <v>47</v>
      </c>
    </row>
    <row r="8" spans="1:26" x14ac:dyDescent="0.25">
      <c r="A8" t="s">
        <v>96</v>
      </c>
      <c r="L8" s="1" t="s">
        <v>17</v>
      </c>
      <c r="M8" s="39">
        <v>96</v>
      </c>
      <c r="N8" s="1" t="s">
        <v>47</v>
      </c>
    </row>
    <row r="9" spans="1:26" x14ac:dyDescent="0.25">
      <c r="A9" t="s">
        <v>97</v>
      </c>
      <c r="L9" s="1" t="s">
        <v>17</v>
      </c>
      <c r="M9" s="39">
        <v>175</v>
      </c>
      <c r="N9" s="1" t="s">
        <v>47</v>
      </c>
    </row>
    <row r="10" spans="1:26" x14ac:dyDescent="0.25">
      <c r="A10" t="s">
        <v>98</v>
      </c>
      <c r="L10" s="1" t="s">
        <v>23</v>
      </c>
      <c r="M10" s="39">
        <v>85.9</v>
      </c>
      <c r="N10" s="1" t="s">
        <v>47</v>
      </c>
    </row>
    <row r="11" spans="1:26" x14ac:dyDescent="0.25">
      <c r="A11" t="s">
        <v>122</v>
      </c>
      <c r="L11" s="1" t="s">
        <v>23</v>
      </c>
      <c r="M11" s="39">
        <f>94.4-M10</f>
        <v>8.5</v>
      </c>
      <c r="N11" s="1" t="s">
        <v>47</v>
      </c>
    </row>
    <row r="12" spans="1:26" x14ac:dyDescent="0.25">
      <c r="A12" t="s">
        <v>123</v>
      </c>
      <c r="L12" s="1" t="s">
        <v>22</v>
      </c>
      <c r="M12" s="39">
        <f>M11*0.15</f>
        <v>1.2749999999999999</v>
      </c>
      <c r="N12" s="1" t="s">
        <v>47</v>
      </c>
    </row>
    <row r="13" spans="1:26" x14ac:dyDescent="0.25">
      <c r="L13" s="1"/>
      <c r="M13" s="39"/>
      <c r="N13" s="1"/>
    </row>
    <row r="14" spans="1:26" x14ac:dyDescent="0.25">
      <c r="A14" t="s">
        <v>120</v>
      </c>
      <c r="L14" s="1" t="s">
        <v>22</v>
      </c>
      <c r="M14" s="39">
        <f>1.04*0.3*2</f>
        <v>0.624</v>
      </c>
      <c r="N14" s="1" t="s">
        <v>121</v>
      </c>
    </row>
    <row r="15" spans="1:26" x14ac:dyDescent="0.25">
      <c r="L15" s="1"/>
      <c r="M15" s="39"/>
      <c r="N15" s="1"/>
    </row>
    <row r="16" spans="1:26" x14ac:dyDescent="0.25">
      <c r="A16" t="s">
        <v>140</v>
      </c>
      <c r="L16" s="1" t="s">
        <v>22</v>
      </c>
      <c r="M16" s="39">
        <v>17.260000000000002</v>
      </c>
      <c r="N16" s="1" t="s">
        <v>47</v>
      </c>
    </row>
    <row r="17" spans="1:26" x14ac:dyDescent="0.25">
      <c r="L17" s="1" t="s">
        <v>23</v>
      </c>
      <c r="M17" s="39">
        <f>M16/0.1</f>
        <v>172.6</v>
      </c>
      <c r="N17" s="1"/>
    </row>
    <row r="18" spans="1:26" x14ac:dyDescent="0.25">
      <c r="A18" t="s">
        <v>100</v>
      </c>
      <c r="L18" t="s">
        <v>23</v>
      </c>
      <c r="M18">
        <f>355.07</f>
        <v>355.07</v>
      </c>
      <c r="N18" s="29" t="s">
        <v>46</v>
      </c>
    </row>
    <row r="20" spans="1:26" x14ac:dyDescent="0.25">
      <c r="A20" t="s">
        <v>101</v>
      </c>
      <c r="L20" t="s">
        <v>88</v>
      </c>
      <c r="M20">
        <f>M18*0.02</f>
        <v>7.1013999999999999</v>
      </c>
      <c r="N20" t="s">
        <v>89</v>
      </c>
      <c r="O20" s="44" t="s">
        <v>102</v>
      </c>
    </row>
    <row r="21" spans="1:26" x14ac:dyDescent="0.25">
      <c r="L21" s="1"/>
      <c r="M21" s="39"/>
      <c r="N21" s="1"/>
    </row>
    <row r="22" spans="1:26" x14ac:dyDescent="0.25">
      <c r="L22" s="1"/>
      <c r="M22" s="39"/>
      <c r="N22" s="1"/>
    </row>
    <row r="23" spans="1:26" s="1" customForma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9"/>
      <c r="O23" s="45"/>
      <c r="P23" s="29"/>
      <c r="Q23" s="29"/>
      <c r="R23" s="29"/>
      <c r="Y23"/>
      <c r="Z23"/>
    </row>
    <row r="24" spans="1:26" s="53" customFormat="1" x14ac:dyDescent="0.25">
      <c r="A24" s="52" t="s">
        <v>179</v>
      </c>
      <c r="M24" s="31"/>
      <c r="O24" s="54"/>
      <c r="Y24" s="55"/>
      <c r="Z24" s="55"/>
    </row>
    <row r="25" spans="1:26" s="1" customFormat="1" x14ac:dyDescent="0.25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0"/>
      <c r="N25" s="29"/>
      <c r="O25" s="45"/>
      <c r="P25" s="29"/>
      <c r="Q25" s="29"/>
      <c r="R25" s="29"/>
      <c r="Y25"/>
      <c r="Z25"/>
    </row>
    <row r="26" spans="1:26" s="1" customFormat="1" x14ac:dyDescent="0.25">
      <c r="A26" s="28" t="s">
        <v>108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 t="s">
        <v>22</v>
      </c>
      <c r="M26" s="30">
        <f>0.15*12.32+0.3*0.3+1.67*0.3</f>
        <v>2.4390000000000001</v>
      </c>
      <c r="N26" s="1" t="s">
        <v>104</v>
      </c>
      <c r="O26" s="45"/>
      <c r="P26" s="29"/>
      <c r="Q26" s="29"/>
      <c r="R26" s="29"/>
      <c r="Y26"/>
      <c r="Z26"/>
    </row>
    <row r="27" spans="1:26" x14ac:dyDescent="0.25">
      <c r="A27" t="s">
        <v>103</v>
      </c>
      <c r="L27" s="1" t="s">
        <v>22</v>
      </c>
      <c r="M27" s="39">
        <f>(2.29*12.83-M26)+0.77*1.5*2</f>
        <v>29.2517</v>
      </c>
      <c r="N27" s="1" t="s">
        <v>104</v>
      </c>
    </row>
    <row r="28" spans="1:26" x14ac:dyDescent="0.25">
      <c r="A28" t="s">
        <v>53</v>
      </c>
      <c r="L28" s="1" t="s">
        <v>22</v>
      </c>
      <c r="M28" s="39">
        <f>M27</f>
        <v>29.2517</v>
      </c>
      <c r="N28" s="1" t="s">
        <v>104</v>
      </c>
    </row>
    <row r="29" spans="1:26" x14ac:dyDescent="0.25">
      <c r="A29" t="s">
        <v>105</v>
      </c>
      <c r="L29" s="1" t="s">
        <v>22</v>
      </c>
      <c r="M29" s="39">
        <f>M26</f>
        <v>2.4390000000000001</v>
      </c>
      <c r="N29" s="1" t="s">
        <v>104</v>
      </c>
    </row>
    <row r="30" spans="1:26" x14ac:dyDescent="0.25">
      <c r="A30" t="s">
        <v>106</v>
      </c>
      <c r="L30" s="1" t="s">
        <v>107</v>
      </c>
      <c r="M30" s="39">
        <f>M29*2.5</f>
        <v>6.0975000000000001</v>
      </c>
      <c r="N30" s="1" t="s">
        <v>104</v>
      </c>
      <c r="O30" s="46" t="s">
        <v>109</v>
      </c>
    </row>
    <row r="31" spans="1:26" x14ac:dyDescent="0.25">
      <c r="L31" s="1"/>
      <c r="M31" s="39"/>
      <c r="N31" s="1"/>
      <c r="O31" s="46"/>
    </row>
    <row r="32" spans="1:26" s="1" customFormat="1" x14ac:dyDescent="0.25">
      <c r="A32" s="25" t="s">
        <v>110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 t="s">
        <v>22</v>
      </c>
      <c r="M32" s="30">
        <f>0.31*10.4</f>
        <v>3.2240000000000002</v>
      </c>
      <c r="N32" s="29"/>
      <c r="O32" s="45"/>
      <c r="P32" s="29"/>
      <c r="Q32" s="29"/>
      <c r="R32" s="29"/>
      <c r="Y32"/>
      <c r="Z32"/>
    </row>
    <row r="33" spans="1:15" x14ac:dyDescent="0.25">
      <c r="A33" t="s">
        <v>111</v>
      </c>
      <c r="L33" s="1" t="s">
        <v>22</v>
      </c>
      <c r="M33" s="39">
        <f>M32</f>
        <v>3.2240000000000002</v>
      </c>
      <c r="N33" s="1" t="s">
        <v>104</v>
      </c>
    </row>
    <row r="34" spans="1:15" x14ac:dyDescent="0.25">
      <c r="A34" t="s">
        <v>106</v>
      </c>
      <c r="L34" s="1" t="s">
        <v>107</v>
      </c>
      <c r="M34" s="39">
        <f>M33*2.5</f>
        <v>8.06</v>
      </c>
      <c r="N34" s="1" t="s">
        <v>104</v>
      </c>
      <c r="O34" s="46" t="s">
        <v>109</v>
      </c>
    </row>
    <row r="35" spans="1:15" x14ac:dyDescent="0.25">
      <c r="L35" s="1"/>
      <c r="M35" s="39"/>
      <c r="N35" s="1"/>
      <c r="O35" s="46"/>
    </row>
    <row r="36" spans="1:15" s="42" customFormat="1" x14ac:dyDescent="0.25">
      <c r="A36" s="42" t="s">
        <v>112</v>
      </c>
      <c r="L36" s="42" t="s">
        <v>23</v>
      </c>
      <c r="M36" s="42">
        <f>13.26*1.4+0.6*1.5*2</f>
        <v>20.364000000000001</v>
      </c>
      <c r="N36" s="1" t="s">
        <v>104</v>
      </c>
      <c r="O36" s="47"/>
    </row>
    <row r="37" spans="1:15" s="42" customFormat="1" x14ac:dyDescent="0.25">
      <c r="A37" s="42" t="s">
        <v>113</v>
      </c>
      <c r="L37" s="1" t="s">
        <v>22</v>
      </c>
      <c r="M37" s="42">
        <f>13.26*0.1*1.4+0.06*1.5*2</f>
        <v>2.0364</v>
      </c>
      <c r="N37" s="1" t="s">
        <v>104</v>
      </c>
      <c r="O37" s="47"/>
    </row>
    <row r="38" spans="1:15" s="42" customFormat="1" x14ac:dyDescent="0.25">
      <c r="A38" s="42" t="s">
        <v>114</v>
      </c>
      <c r="L38" s="1" t="s">
        <v>23</v>
      </c>
      <c r="M38" s="42">
        <f>1.28*2*13.26</f>
        <v>33.945599999999999</v>
      </c>
      <c r="N38" s="1" t="s">
        <v>104</v>
      </c>
      <c r="O38" s="47"/>
    </row>
    <row r="39" spans="1:15" s="42" customFormat="1" x14ac:dyDescent="0.25">
      <c r="A39" s="42" t="s">
        <v>115</v>
      </c>
      <c r="L39" s="1" t="s">
        <v>17</v>
      </c>
      <c r="M39" s="42">
        <v>7</v>
      </c>
      <c r="N39" s="1" t="s">
        <v>104</v>
      </c>
      <c r="O39" s="47"/>
    </row>
    <row r="40" spans="1:15" s="42" customFormat="1" x14ac:dyDescent="0.25">
      <c r="A40" s="42" t="s">
        <v>116</v>
      </c>
      <c r="L40" s="1" t="s">
        <v>17</v>
      </c>
      <c r="M40" s="42">
        <v>6</v>
      </c>
      <c r="N40" s="1" t="s">
        <v>104</v>
      </c>
      <c r="O40" s="47"/>
    </row>
    <row r="41" spans="1:15" s="42" customFormat="1" x14ac:dyDescent="0.25">
      <c r="A41" s="42" t="s">
        <v>117</v>
      </c>
      <c r="L41" s="1" t="s">
        <v>17</v>
      </c>
      <c r="M41" s="42">
        <v>2</v>
      </c>
      <c r="N41" s="1" t="s">
        <v>104</v>
      </c>
      <c r="O41" s="47"/>
    </row>
    <row r="42" spans="1:15" s="42" customFormat="1" x14ac:dyDescent="0.25">
      <c r="A42" s="42" t="s">
        <v>118</v>
      </c>
      <c r="L42" s="1" t="s">
        <v>22</v>
      </c>
      <c r="M42" s="42">
        <f>0.97*13.26</f>
        <v>12.8622</v>
      </c>
      <c r="N42" s="1" t="s">
        <v>104</v>
      </c>
      <c r="O42" s="47"/>
    </row>
    <row r="43" spans="1:15" s="42" customFormat="1" x14ac:dyDescent="0.25">
      <c r="A43" s="42" t="s">
        <v>119</v>
      </c>
      <c r="L43" s="1" t="s">
        <v>22</v>
      </c>
      <c r="M43" s="42">
        <f>0.43*1.5+0.42*1.5</f>
        <v>1.2749999999999999</v>
      </c>
      <c r="N43" s="1" t="s">
        <v>104</v>
      </c>
      <c r="O43" s="47"/>
    </row>
    <row r="44" spans="1:15" s="42" customFormat="1" x14ac:dyDescent="0.25">
      <c r="A44" s="42" t="s">
        <v>124</v>
      </c>
      <c r="L44" s="1" t="s">
        <v>23</v>
      </c>
      <c r="M44" s="42">
        <f>((4.23+1.21)*13.26)+((2.04*1.36+2*0.26)*2)</f>
        <v>78.723200000000006</v>
      </c>
      <c r="N44" s="1" t="s">
        <v>104</v>
      </c>
      <c r="O44" s="47"/>
    </row>
    <row r="45" spans="1:15" s="42" customFormat="1" x14ac:dyDescent="0.25">
      <c r="L45" s="1"/>
      <c r="N45" s="1"/>
      <c r="O45" s="47"/>
    </row>
    <row r="46" spans="1:15" s="42" customFormat="1" x14ac:dyDescent="0.25">
      <c r="A46" s="42" t="s">
        <v>174</v>
      </c>
      <c r="L46" s="1" t="s">
        <v>22</v>
      </c>
      <c r="M46" s="42">
        <f>((0.73*1.5)-(0.9*0.4))+((0.69*1.5)-(0.9*0.4))</f>
        <v>1.4099999999999997</v>
      </c>
      <c r="N46" s="1" t="s">
        <v>104</v>
      </c>
      <c r="O46" s="47"/>
    </row>
    <row r="47" spans="1:15" s="42" customFormat="1" x14ac:dyDescent="0.25">
      <c r="A47" s="42" t="s">
        <v>175</v>
      </c>
      <c r="L47" s="1" t="s">
        <v>23</v>
      </c>
      <c r="M47" s="42">
        <f>((2.07*1.15)-0.55)+((2.18*1.15)-0.55)</f>
        <v>3.7874999999999996</v>
      </c>
      <c r="N47" s="1"/>
      <c r="O47" s="47"/>
    </row>
    <row r="48" spans="1:15" s="42" customFormat="1" x14ac:dyDescent="0.25">
      <c r="A48" s="42" t="s">
        <v>176</v>
      </c>
      <c r="L48" s="1" t="s">
        <v>23</v>
      </c>
      <c r="M48" s="42">
        <f>M47</f>
        <v>3.7874999999999996</v>
      </c>
      <c r="N48" s="1"/>
      <c r="O48" s="47"/>
    </row>
    <row r="49" spans="1:26" s="42" customFormat="1" x14ac:dyDescent="0.25">
      <c r="L49" s="1"/>
      <c r="N49" s="1"/>
      <c r="O49" s="47"/>
    </row>
    <row r="50" spans="1:26" s="42" customFormat="1" x14ac:dyDescent="0.25">
      <c r="A50" s="42" t="s">
        <v>127</v>
      </c>
      <c r="L50" s="1" t="s">
        <v>23</v>
      </c>
      <c r="M50" s="42">
        <f>1.7*1.4*2</f>
        <v>4.76</v>
      </c>
      <c r="N50" s="1" t="s">
        <v>104</v>
      </c>
      <c r="O50" s="47"/>
    </row>
    <row r="51" spans="1:26" s="42" customFormat="1" x14ac:dyDescent="0.25">
      <c r="L51" s="1"/>
      <c r="N51" s="1"/>
      <c r="O51" s="47"/>
    </row>
    <row r="52" spans="1:26" s="42" customFormat="1" x14ac:dyDescent="0.25">
      <c r="A52" s="42" t="s">
        <v>126</v>
      </c>
      <c r="L52" s="1" t="s">
        <v>17</v>
      </c>
      <c r="M52" s="42">
        <v>1</v>
      </c>
      <c r="N52" s="1" t="s">
        <v>104</v>
      </c>
      <c r="O52" s="47"/>
    </row>
    <row r="53" spans="1:26" s="42" customFormat="1" x14ac:dyDescent="0.25">
      <c r="A53" s="42" t="s">
        <v>125</v>
      </c>
      <c r="L53" s="1" t="s">
        <v>22</v>
      </c>
      <c r="M53" s="42">
        <f>(0.56-0.25)*0.3</f>
        <v>9.3000000000000013E-2</v>
      </c>
      <c r="N53" s="1" t="s">
        <v>104</v>
      </c>
      <c r="O53" s="47"/>
    </row>
    <row r="54" spans="1:26" s="42" customFormat="1" x14ac:dyDescent="0.25">
      <c r="L54" s="1"/>
      <c r="N54" s="1"/>
      <c r="O54" s="47"/>
    </row>
    <row r="55" spans="1:26" s="42" customFormat="1" x14ac:dyDescent="0.25">
      <c r="A55" s="42" t="s">
        <v>128</v>
      </c>
      <c r="L55" s="1" t="s">
        <v>22</v>
      </c>
      <c r="M55" s="42">
        <f>12.86*0.75</f>
        <v>9.6449999999999996</v>
      </c>
      <c r="N55" s="1" t="s">
        <v>104</v>
      </c>
      <c r="O55" s="47"/>
    </row>
    <row r="56" spans="1:26" s="42" customFormat="1" x14ac:dyDescent="0.25">
      <c r="A56" s="42" t="s">
        <v>129</v>
      </c>
      <c r="L56" s="1" t="s">
        <v>22</v>
      </c>
      <c r="M56" s="42">
        <f>0.14*10.4</f>
        <v>1.4560000000000002</v>
      </c>
      <c r="N56" s="1" t="s">
        <v>104</v>
      </c>
      <c r="O56" s="47"/>
    </row>
    <row r="57" spans="1:26" s="42" customFormat="1" x14ac:dyDescent="0.25">
      <c r="A57" s="42" t="s">
        <v>130</v>
      </c>
      <c r="L57" s="1" t="s">
        <v>23</v>
      </c>
      <c r="M57" s="42">
        <f>2.5*10.4</f>
        <v>26</v>
      </c>
      <c r="N57" s="1" t="s">
        <v>104</v>
      </c>
      <c r="O57" s="47"/>
    </row>
    <row r="58" spans="1:26" s="42" customFormat="1" x14ac:dyDescent="0.25">
      <c r="A58" s="42" t="s">
        <v>131</v>
      </c>
      <c r="L58" s="1" t="s">
        <v>22</v>
      </c>
      <c r="M58" s="42">
        <f>0.11*10.4</f>
        <v>1.1440000000000001</v>
      </c>
      <c r="N58" s="1" t="s">
        <v>104</v>
      </c>
      <c r="O58" s="47"/>
    </row>
    <row r="59" spans="1:26" s="42" customFormat="1" x14ac:dyDescent="0.25">
      <c r="A59" s="42" t="s">
        <v>132</v>
      </c>
      <c r="L59" s="1" t="s">
        <v>18</v>
      </c>
      <c r="M59" s="42">
        <f>10.4*2</f>
        <v>20.8</v>
      </c>
      <c r="N59" s="1" t="s">
        <v>104</v>
      </c>
      <c r="O59" s="47"/>
    </row>
    <row r="60" spans="1:26" s="42" customFormat="1" x14ac:dyDescent="0.25">
      <c r="L60" s="1"/>
      <c r="N60" s="1"/>
      <c r="O60" s="47"/>
    </row>
    <row r="61" spans="1:26" s="1" customFormat="1" x14ac:dyDescent="0.25">
      <c r="A61" s="28" t="s">
        <v>133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30"/>
      <c r="N61" s="29"/>
      <c r="O61" s="45"/>
      <c r="P61" s="29"/>
      <c r="Q61" s="29"/>
      <c r="R61" s="29"/>
      <c r="Y61"/>
      <c r="Z61"/>
    </row>
    <row r="62" spans="1:26" s="1" customFormat="1" x14ac:dyDescent="0.25">
      <c r="A62" t="s">
        <v>37</v>
      </c>
      <c r="G62" s="15">
        <f>1.97*5</f>
        <v>9.85</v>
      </c>
      <c r="H62" s="27" t="s">
        <v>22</v>
      </c>
      <c r="I62" s="37" t="s">
        <v>38</v>
      </c>
      <c r="O62" s="45"/>
      <c r="Y62"/>
      <c r="Z62"/>
    </row>
    <row r="63" spans="1:26" s="1" customFormat="1" x14ac:dyDescent="0.25">
      <c r="A63" t="s">
        <v>39</v>
      </c>
      <c r="G63" s="15"/>
      <c r="H63" s="27"/>
      <c r="J63" s="1">
        <f>5.6*5</f>
        <v>28</v>
      </c>
      <c r="O63" s="45"/>
      <c r="Y63"/>
      <c r="Z63"/>
    </row>
    <row r="64" spans="1:26" s="1" customFormat="1" x14ac:dyDescent="0.25">
      <c r="A64" s="28"/>
      <c r="M64" s="15"/>
      <c r="O64" s="45"/>
      <c r="Y64"/>
      <c r="Z64"/>
    </row>
    <row r="65" spans="1:26" x14ac:dyDescent="0.25">
      <c r="A65" t="s">
        <v>134</v>
      </c>
      <c r="L65" t="s">
        <v>22</v>
      </c>
      <c r="M65">
        <f>4.1*0.09</f>
        <v>0.36899999999999994</v>
      </c>
      <c r="N65" s="1" t="s">
        <v>47</v>
      </c>
    </row>
    <row r="66" spans="1:26" x14ac:dyDescent="0.25">
      <c r="A66" t="s">
        <v>135</v>
      </c>
      <c r="L66" t="s">
        <v>22</v>
      </c>
      <c r="M66">
        <f>0.84*4.1</f>
        <v>3.4439999999999995</v>
      </c>
      <c r="N66" s="1" t="s">
        <v>47</v>
      </c>
    </row>
    <row r="67" spans="1:26" x14ac:dyDescent="0.25">
      <c r="A67" s="58" t="s">
        <v>137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 t="s">
        <v>22</v>
      </c>
      <c r="M67" s="58">
        <f>0.126/2*4.65</f>
        <v>0.29295000000000004</v>
      </c>
      <c r="N67" s="59" t="s">
        <v>47</v>
      </c>
      <c r="O67" s="51" t="s">
        <v>177</v>
      </c>
    </row>
    <row r="68" spans="1:26" x14ac:dyDescent="0.25">
      <c r="A68" t="s">
        <v>139</v>
      </c>
      <c r="L68" t="s">
        <v>22</v>
      </c>
      <c r="M68">
        <f>0.15*0.3</f>
        <v>4.4999999999999998E-2</v>
      </c>
      <c r="N68" s="1" t="s">
        <v>138</v>
      </c>
      <c r="O68" s="51"/>
    </row>
    <row r="69" spans="1:26" x14ac:dyDescent="0.25">
      <c r="N69" s="1"/>
      <c r="O69" s="51"/>
    </row>
    <row r="70" spans="1:26" s="53" customFormat="1" x14ac:dyDescent="0.25">
      <c r="A70" s="60" t="s">
        <v>180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2"/>
      <c r="N70" s="61"/>
      <c r="O70" s="51" t="s">
        <v>187</v>
      </c>
      <c r="Y70" s="55"/>
      <c r="Z70" s="55"/>
    </row>
    <row r="71" spans="1:26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</row>
    <row r="72" spans="1:26" x14ac:dyDescent="0.25">
      <c r="A72" s="58" t="s">
        <v>178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 t="s">
        <v>22</v>
      </c>
      <c r="M72" s="58">
        <v>1.5</v>
      </c>
      <c r="N72" s="59" t="s">
        <v>181</v>
      </c>
    </row>
    <row r="73" spans="1:26" x14ac:dyDescent="0.25">
      <c r="A73" s="58" t="s">
        <v>103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 t="s">
        <v>22</v>
      </c>
      <c r="M73" s="58">
        <f>0.87*0.4*2</f>
        <v>0.69600000000000006</v>
      </c>
      <c r="N73" s="59" t="s">
        <v>181</v>
      </c>
    </row>
    <row r="74" spans="1:26" x14ac:dyDescent="0.25">
      <c r="A74" s="58" t="s">
        <v>184</v>
      </c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 t="s">
        <v>22</v>
      </c>
      <c r="M74" s="58">
        <f>0.4*0.4*1.1*2</f>
        <v>0.35200000000000009</v>
      </c>
      <c r="N74" s="59" t="s">
        <v>181</v>
      </c>
    </row>
    <row r="75" spans="1:26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</row>
    <row r="76" spans="1:26" x14ac:dyDescent="0.25">
      <c r="A76" s="58" t="s">
        <v>182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 t="s">
        <v>18</v>
      </c>
      <c r="M76" s="58">
        <v>4.6500000000000004</v>
      </c>
      <c r="N76" s="59" t="s">
        <v>181</v>
      </c>
    </row>
    <row r="77" spans="1:26" x14ac:dyDescent="0.25">
      <c r="A77" s="58" t="s">
        <v>183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 t="s">
        <v>22</v>
      </c>
      <c r="M77" s="58">
        <f>4.26*0.2*1</f>
        <v>0.85199999999999998</v>
      </c>
      <c r="N77" s="59" t="s">
        <v>181</v>
      </c>
    </row>
    <row r="78" spans="1:26" x14ac:dyDescent="0.25">
      <c r="A78" s="58" t="s">
        <v>185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 t="s">
        <v>22</v>
      </c>
      <c r="M78" s="58">
        <f>4.05*0.57</f>
        <v>2.3084999999999996</v>
      </c>
      <c r="N78" s="59" t="s">
        <v>181</v>
      </c>
    </row>
    <row r="79" spans="1:26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</row>
    <row r="80" spans="1:26" s="42" customFormat="1" x14ac:dyDescent="0.25">
      <c r="A80" s="63" t="s">
        <v>186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59" t="s">
        <v>22</v>
      </c>
      <c r="M80" s="63">
        <f>0.9*1.55*0.4*2</f>
        <v>1.1160000000000001</v>
      </c>
      <c r="N80" s="59" t="s">
        <v>181</v>
      </c>
      <c r="O80" s="47"/>
    </row>
    <row r="81" spans="1:15" s="42" customFormat="1" x14ac:dyDescent="0.25">
      <c r="A81" s="63" t="s">
        <v>175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59" t="s">
        <v>23</v>
      </c>
      <c r="M81" s="63">
        <f>(0.9*1.55*2)-2*0.3</f>
        <v>2.19</v>
      </c>
      <c r="N81" s="59" t="s">
        <v>181</v>
      </c>
      <c r="O81" s="47"/>
    </row>
    <row r="82" spans="1:15" s="42" customFormat="1" x14ac:dyDescent="0.25">
      <c r="A82" s="63" t="s">
        <v>176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59" t="s">
        <v>23</v>
      </c>
      <c r="M82" s="63">
        <f>(0.9*1.55*2)-2*0.3</f>
        <v>2.19</v>
      </c>
      <c r="N82" s="59" t="s">
        <v>181</v>
      </c>
      <c r="O82" s="47"/>
    </row>
  </sheetData>
  <pageMargins left="0.70866141732283472" right="0.70866141732283472" top="0.78740157480314965" bottom="0.78740157480314965" header="0.31496062992125984" footer="0.31496062992125984"/>
  <pageSetup paperSize="9" scale="55" orientation="portrait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workbookViewId="0">
      <selection activeCell="S21" sqref="S21"/>
    </sheetView>
  </sheetViews>
  <sheetFormatPr defaultRowHeight="15" x14ac:dyDescent="0.25"/>
  <cols>
    <col min="11" max="11" width="13.28515625" customWidth="1"/>
    <col min="13" max="13" width="11.85546875" bestFit="1" customWidth="1"/>
  </cols>
  <sheetData>
    <row r="1" spans="1:26" x14ac:dyDescent="0.25">
      <c r="A1" s="41" t="s">
        <v>163</v>
      </c>
    </row>
    <row r="3" spans="1:26" s="1" customFormat="1" x14ac:dyDescent="0.25">
      <c r="A3" s="25" t="s">
        <v>141</v>
      </c>
      <c r="H3" s="27"/>
      <c r="L3" s="1" t="s">
        <v>17</v>
      </c>
      <c r="M3" s="15">
        <v>9</v>
      </c>
      <c r="N3" s="29" t="s">
        <v>136</v>
      </c>
      <c r="Y3"/>
      <c r="Z3"/>
    </row>
    <row r="4" spans="1:26" s="1" customFormat="1" x14ac:dyDescent="0.25">
      <c r="A4" s="25" t="s">
        <v>142</v>
      </c>
      <c r="H4" s="27"/>
      <c r="L4" s="1" t="s">
        <v>17</v>
      </c>
      <c r="M4" s="15">
        <v>3</v>
      </c>
      <c r="N4" s="29" t="s">
        <v>136</v>
      </c>
      <c r="Y4"/>
      <c r="Z4"/>
    </row>
    <row r="5" spans="1:26" s="1" customFormat="1" x14ac:dyDescent="0.25">
      <c r="A5" s="25" t="s">
        <v>143</v>
      </c>
      <c r="H5" s="27"/>
      <c r="L5" s="1" t="s">
        <v>17</v>
      </c>
      <c r="M5" s="15">
        <v>2</v>
      </c>
      <c r="N5" s="29" t="s">
        <v>136</v>
      </c>
      <c r="Y5"/>
      <c r="Z5"/>
    </row>
    <row r="7" spans="1:26" x14ac:dyDescent="0.25">
      <c r="A7" s="25" t="s">
        <v>145</v>
      </c>
      <c r="L7" s="1" t="s">
        <v>17</v>
      </c>
      <c r="M7" s="15">
        <v>3</v>
      </c>
      <c r="N7" s="29" t="s">
        <v>146</v>
      </c>
    </row>
    <row r="8" spans="1:26" x14ac:dyDescent="0.25">
      <c r="A8" s="25" t="s">
        <v>173</v>
      </c>
      <c r="L8" s="1" t="s">
        <v>17</v>
      </c>
      <c r="M8" s="15">
        <v>7</v>
      </c>
      <c r="N8" s="29" t="s">
        <v>146</v>
      </c>
    </row>
    <row r="9" spans="1:26" x14ac:dyDescent="0.25">
      <c r="A9" s="25" t="s">
        <v>147</v>
      </c>
      <c r="L9" s="1" t="s">
        <v>18</v>
      </c>
      <c r="M9" s="15">
        <v>236</v>
      </c>
      <c r="N9" s="29" t="s">
        <v>146</v>
      </c>
    </row>
    <row r="11" spans="1:26" x14ac:dyDescent="0.25">
      <c r="A11" s="25" t="s">
        <v>148</v>
      </c>
      <c r="L11" s="1" t="s">
        <v>17</v>
      </c>
      <c r="M11" s="15">
        <v>45</v>
      </c>
      <c r="N11" s="29" t="s">
        <v>146</v>
      </c>
    </row>
    <row r="12" spans="1:26" x14ac:dyDescent="0.25">
      <c r="A12" s="25" t="s">
        <v>149</v>
      </c>
      <c r="L12" s="1" t="s">
        <v>88</v>
      </c>
      <c r="M12">
        <f>M11*0.18</f>
        <v>8.1</v>
      </c>
      <c r="N12" s="29" t="s">
        <v>144</v>
      </c>
    </row>
    <row r="13" spans="1:26" x14ac:dyDescent="0.25">
      <c r="A13" s="25" t="s">
        <v>151</v>
      </c>
      <c r="L13" s="1" t="s">
        <v>17</v>
      </c>
      <c r="M13" s="39">
        <f>M11</f>
        <v>45</v>
      </c>
      <c r="N13" s="29" t="s">
        <v>144</v>
      </c>
      <c r="O13" s="40" t="s">
        <v>150</v>
      </c>
    </row>
    <row r="14" spans="1:26" x14ac:dyDescent="0.25">
      <c r="A14" s="25" t="s">
        <v>152</v>
      </c>
      <c r="L14" s="1" t="s">
        <v>17</v>
      </c>
      <c r="M14" s="39">
        <f>M11</f>
        <v>45</v>
      </c>
      <c r="N14" s="29" t="s">
        <v>144</v>
      </c>
    </row>
    <row r="15" spans="1:26" x14ac:dyDescent="0.25">
      <c r="A15" s="25" t="s">
        <v>153</v>
      </c>
      <c r="L15" s="1" t="s">
        <v>18</v>
      </c>
      <c r="M15">
        <f>M11*1</f>
        <v>45</v>
      </c>
      <c r="N15" s="29" t="s">
        <v>144</v>
      </c>
    </row>
    <row r="16" spans="1:26" x14ac:dyDescent="0.25">
      <c r="A16" s="25" t="s">
        <v>154</v>
      </c>
      <c r="L16" s="1" t="s">
        <v>23</v>
      </c>
      <c r="M16">
        <f>M11*0.5</f>
        <v>22.5</v>
      </c>
      <c r="N16" s="29" t="s">
        <v>144</v>
      </c>
    </row>
    <row r="17" spans="1:14" x14ac:dyDescent="0.25">
      <c r="A17" s="25" t="s">
        <v>155</v>
      </c>
      <c r="L17" s="1" t="s">
        <v>22</v>
      </c>
      <c r="M17">
        <f>M11*0.1</f>
        <v>4.5</v>
      </c>
      <c r="N17" s="29" t="s">
        <v>144</v>
      </c>
    </row>
    <row r="19" spans="1:14" x14ac:dyDescent="0.25">
      <c r="A19" s="25" t="s">
        <v>156</v>
      </c>
      <c r="L19" s="1" t="s">
        <v>17</v>
      </c>
      <c r="M19" s="15">
        <f>77+23</f>
        <v>100</v>
      </c>
      <c r="N19" s="29" t="s">
        <v>146</v>
      </c>
    </row>
    <row r="20" spans="1:14" x14ac:dyDescent="0.25">
      <c r="A20" s="25" t="s">
        <v>157</v>
      </c>
      <c r="L20" s="1" t="s">
        <v>88</v>
      </c>
      <c r="M20">
        <f>M19*0.02</f>
        <v>2</v>
      </c>
      <c r="N20" s="29" t="s">
        <v>144</v>
      </c>
    </row>
    <row r="21" spans="1:14" x14ac:dyDescent="0.25">
      <c r="A21" s="25" t="s">
        <v>158</v>
      </c>
      <c r="L21" s="1" t="s">
        <v>17</v>
      </c>
      <c r="M21">
        <f>M19/5</f>
        <v>20</v>
      </c>
      <c r="N21" s="29" t="s">
        <v>144</v>
      </c>
    </row>
    <row r="22" spans="1:14" x14ac:dyDescent="0.25">
      <c r="A22" s="25" t="s">
        <v>159</v>
      </c>
      <c r="L22" s="1" t="s">
        <v>88</v>
      </c>
      <c r="M22">
        <f>M19*0.009</f>
        <v>0.89999999999999991</v>
      </c>
      <c r="N22" s="29" t="s">
        <v>144</v>
      </c>
    </row>
    <row r="24" spans="1:14" x14ac:dyDescent="0.25">
      <c r="A24" s="25" t="s">
        <v>160</v>
      </c>
      <c r="L24" s="1" t="s">
        <v>22</v>
      </c>
      <c r="M24">
        <f>M19*0.02</f>
        <v>2</v>
      </c>
      <c r="N24" s="29" t="s">
        <v>144</v>
      </c>
    </row>
    <row r="26" spans="1:14" x14ac:dyDescent="0.25">
      <c r="A26" s="25" t="s">
        <v>162</v>
      </c>
      <c r="L26" s="1" t="s">
        <v>88</v>
      </c>
      <c r="M26">
        <f>27*0.03</f>
        <v>0.80999999999999994</v>
      </c>
      <c r="N26" s="29" t="s">
        <v>144</v>
      </c>
    </row>
    <row r="27" spans="1:14" x14ac:dyDescent="0.25">
      <c r="A27" s="25" t="s">
        <v>161</v>
      </c>
      <c r="L27" s="1" t="s">
        <v>88</v>
      </c>
      <c r="M27">
        <f>41*0.08</f>
        <v>3.2800000000000002</v>
      </c>
      <c r="N27" s="29" t="s">
        <v>144</v>
      </c>
    </row>
    <row r="30" spans="1:14" x14ac:dyDescent="0.25">
      <c r="A30" t="s">
        <v>164</v>
      </c>
      <c r="L30" t="s">
        <v>23</v>
      </c>
      <c r="M30">
        <f>'SO 01'!M59+'SO 02'!M18</f>
        <v>2845.07</v>
      </c>
      <c r="N30" t="s">
        <v>144</v>
      </c>
    </row>
    <row r="33" spans="1:15" x14ac:dyDescent="0.25">
      <c r="A33" s="43" t="s">
        <v>172</v>
      </c>
    </row>
    <row r="35" spans="1:15" x14ac:dyDescent="0.25">
      <c r="A35" t="s">
        <v>165</v>
      </c>
      <c r="L35" t="s">
        <v>60</v>
      </c>
      <c r="M35">
        <v>2</v>
      </c>
      <c r="N35" t="s">
        <v>144</v>
      </c>
      <c r="O35" s="40" t="s">
        <v>166</v>
      </c>
    </row>
    <row r="36" spans="1:15" x14ac:dyDescent="0.25">
      <c r="A36" s="25" t="s">
        <v>159</v>
      </c>
      <c r="L36" s="1" t="s">
        <v>88</v>
      </c>
      <c r="M36">
        <f>M22*2</f>
        <v>1.7999999999999998</v>
      </c>
      <c r="N36" s="29" t="s">
        <v>144</v>
      </c>
    </row>
    <row r="37" spans="1:15" x14ac:dyDescent="0.25">
      <c r="A37" t="s">
        <v>167</v>
      </c>
      <c r="L37" t="s">
        <v>168</v>
      </c>
      <c r="M37">
        <f>0.25*4</f>
        <v>1</v>
      </c>
      <c r="N37" s="29" t="s">
        <v>144</v>
      </c>
    </row>
    <row r="38" spans="1:15" x14ac:dyDescent="0.25">
      <c r="A38" t="s">
        <v>169</v>
      </c>
      <c r="L38" t="s">
        <v>22</v>
      </c>
      <c r="M38">
        <f>3*(M17+M24)</f>
        <v>19.5</v>
      </c>
      <c r="N38" s="29" t="s">
        <v>144</v>
      </c>
    </row>
    <row r="39" spans="1:15" x14ac:dyDescent="0.25">
      <c r="A39" t="s">
        <v>170</v>
      </c>
      <c r="L39" t="s">
        <v>17</v>
      </c>
      <c r="M39">
        <f>0.1*(M19+M11)</f>
        <v>14.5</v>
      </c>
      <c r="N39" s="29" t="s">
        <v>144</v>
      </c>
    </row>
    <row r="40" spans="1:15" x14ac:dyDescent="0.25">
      <c r="A40" t="s">
        <v>171</v>
      </c>
      <c r="L40" t="s">
        <v>17</v>
      </c>
      <c r="M40" s="39">
        <f>M11</f>
        <v>45</v>
      </c>
      <c r="N40" s="29" t="s">
        <v>144</v>
      </c>
    </row>
  </sheetData>
  <pageMargins left="0.70866141732283472" right="0.70866141732283472" top="0.78740157480314965" bottom="0.78740157480314965" header="0.31496062992125984" footer="0.31496062992125984"/>
  <pageSetup paperSize="9" scale="55" orientation="portrait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9"/>
  <sheetViews>
    <sheetView workbookViewId="0">
      <selection activeCell="S21" sqref="S21"/>
    </sheetView>
  </sheetViews>
  <sheetFormatPr defaultRowHeight="15" x14ac:dyDescent="0.25"/>
  <sheetData>
    <row r="3" spans="1:1" x14ac:dyDescent="0.25">
      <c r="A3" t="s">
        <v>21</v>
      </c>
    </row>
    <row r="4" spans="1:1" x14ac:dyDescent="0.25">
      <c r="A4" t="s">
        <v>24</v>
      </c>
    </row>
    <row r="5" spans="1:1" x14ac:dyDescent="0.25">
      <c r="A5" t="s">
        <v>19</v>
      </c>
    </row>
    <row r="6" spans="1:1" x14ac:dyDescent="0.25">
      <c r="A6" t="s">
        <v>20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</sheetData>
  <pageMargins left="0.70866141732283472" right="0.70866141732283472" top="0.78740157480314965" bottom="0.78740157480314965" header="0.31496062992125984" footer="0.31496062992125984"/>
  <pageSetup paperSize="9" scale="55" orientation="portrait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Hmotová tabulka</vt:lpstr>
      <vt:lpstr>SO 01</vt:lpstr>
      <vt:lpstr>SO 02</vt:lpstr>
      <vt:lpstr>SO 03</vt:lpstr>
      <vt:lpstr>VON</vt:lpstr>
      <vt:lpstr>'Hmotová tabulka'!Oblast_tisku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Kunc</dc:creator>
  <cp:lastModifiedBy>Ing. Petr Kunc</cp:lastModifiedBy>
  <cp:lastPrinted>2020-01-17T07:08:49Z</cp:lastPrinted>
  <dcterms:created xsi:type="dcterms:W3CDTF">2017-08-08T04:57:07Z</dcterms:created>
  <dcterms:modified xsi:type="dcterms:W3CDTF">2020-01-17T07:25:49Z</dcterms:modified>
</cp:coreProperties>
</file>